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485"/>
  </bookViews>
  <sheets>
    <sheet name="报价清单" sheetId="7" r:id="rId1"/>
    <sheet name="Sheet3" sheetId="10" state="hidden" r:id="rId2"/>
    <sheet name="Sheet2" sheetId="9" state="hidden" r:id="rId3"/>
    <sheet name="Sheet1" sheetId="8" state="hidden" r:id="rId4"/>
  </sheets>
  <definedNames>
    <definedName name="_xlnm.Print_Area" localSheetId="0">报价清单!$A$1:$H$29</definedName>
    <definedName name="_xlnm.Print_Titles" localSheetId="0">报价清单!$8:$8</definedName>
  </definedNames>
  <calcPr calcId="144525"/>
</workbook>
</file>

<file path=xl/sharedStrings.xml><?xml version="1.0" encoding="utf-8"?>
<sst xmlns="http://schemas.openxmlformats.org/spreadsheetml/2006/main" count="297" uniqueCount="162">
  <si>
    <t>报价清单</t>
  </si>
  <si>
    <t xml:space="preserve">供应商名称（盖章）： </t>
  </si>
  <si>
    <t>项目联系人：雷群奇13809645170</t>
  </si>
  <si>
    <t>联系方式：</t>
  </si>
  <si>
    <t>*项目要求详见询价文件及任务书。</t>
  </si>
  <si>
    <t xml:space="preserve">联 系  人： </t>
  </si>
  <si>
    <t>工程名称：食品加工中心</t>
  </si>
  <si>
    <t>分项工程：天然气计量柜检测及整改（第二次）</t>
  </si>
  <si>
    <t>项目概况：/</t>
  </si>
  <si>
    <t>序号</t>
  </si>
  <si>
    <t>项目名称</t>
  </si>
  <si>
    <t>项目特征描述</t>
  </si>
  <si>
    <t>单位</t>
  </si>
  <si>
    <t>工程量</t>
  </si>
  <si>
    <t>全费用综合单价(元)</t>
  </si>
  <si>
    <t>合计(元)</t>
  </si>
  <si>
    <t>备注</t>
  </si>
  <si>
    <t>罗茨流量计G60校验</t>
  </si>
  <si>
    <t>1.流量计拆卸、安装
2.流量计送检，第三方检测机构校验
3.含运输费用、拆卸及安装，检测费
4.不含流量计维修费（如校验不合格需另计费）</t>
  </si>
  <si>
    <t>块</t>
  </si>
  <si>
    <t>压力表校验</t>
  </si>
  <si>
    <t>1.压力表拆卸、安装
2.压力表送检，第三方检测机构校验
3.含运输费用、拆卸及安装，检测费
4.不含流量计维修费（如校验不合格需另计费）</t>
  </si>
  <si>
    <t>台</t>
  </si>
  <si>
    <t>不锈钢金属软管安装DN150</t>
  </si>
  <si>
    <t>1.金属软管安装
2.含防雷跨接、法兰锡纸黄油保护
3.主材甲供</t>
  </si>
  <si>
    <t>m</t>
  </si>
  <si>
    <t>不锈钢金属软管安装DN100</t>
  </si>
  <si>
    <t>调压柜进出口钢塑管道防腐</t>
  </si>
  <si>
    <t>1.管道除锈、刷漆
2.钢套管填充保护
3.涂刷面积、涂刷材料、封堵材料满足现场实际需求，综合考虑费用</t>
  </si>
  <si>
    <t>个</t>
  </si>
  <si>
    <t>调压柜电源防爆挠性管</t>
  </si>
  <si>
    <t>1.名称:调压柜电源防爆挠性管
2.材质:防爆挠性连接管
3.规格:DN20mm
4.配置形式及部位:设备连接</t>
  </si>
  <si>
    <t>调压柜电源线</t>
  </si>
  <si>
    <t>1.名称:调压柜电源线
2.型号:RVV-3×2.5mm2
3.敷设方式:管内敷设</t>
  </si>
  <si>
    <t>调压柜电源镀锌钢管</t>
  </si>
  <si>
    <t>1.名称:调压柜电源镀锌钢管
2.材质:镀锌钢管
3.规格:DN20
4.配置形式及部位:支、吊架、埋地安装等综合考虑</t>
  </si>
  <si>
    <t>人工土方开挖</t>
  </si>
  <si>
    <t>1、名称：人工土方开挖
2、开挖尺寸：100mm宽×300mm深
3、土方就近堆放</t>
  </si>
  <si>
    <t>m³</t>
  </si>
  <si>
    <t>人工土方回填</t>
  </si>
  <si>
    <t>1、名称：人工土方回填
2、回填尺寸：100mm宽×300mm深
3、就近取土</t>
  </si>
  <si>
    <t>静电跨接整改</t>
  </si>
  <si>
    <t>法兰跨接、调压箱不锈钢门接地跨接，护栏接地跨接整改</t>
  </si>
  <si>
    <t>项</t>
  </si>
  <si>
    <t>不锈钢栅栏标识</t>
  </si>
  <si>
    <t>1、标识尺寸、材质满足现场实际需求，综合考虑费用
2、包含标识内容设计</t>
  </si>
  <si>
    <t>调压柜开关标识</t>
  </si>
  <si>
    <t>放散管整改</t>
  </si>
  <si>
    <t>满足现场实际需求，综合考虑费用</t>
  </si>
  <si>
    <t>处</t>
  </si>
  <si>
    <t>示踪线检测，标志桩定位核实</t>
  </si>
  <si>
    <t>示踪线检测、标志定位核实</t>
  </si>
  <si>
    <t>标识桩上色</t>
  </si>
  <si>
    <t>1、标识桩尺寸以现场实际为准
2、涂刷厚度、颜色等满足规范要求</t>
  </si>
  <si>
    <t>中压管道压力监检</t>
  </si>
  <si>
    <t>中压管道特检院监检，出具最新的监检报告</t>
  </si>
  <si>
    <t>合计</t>
  </si>
  <si>
    <r>
      <rPr>
        <b/>
        <sz val="11"/>
        <rFont val="宋体"/>
        <charset val="134"/>
      </rPr>
      <t>注：此报价为最终报价，请各供应商谨慎报价。</t>
    </r>
    <r>
      <rPr>
        <b/>
        <sz val="11"/>
        <color indexed="10"/>
        <rFont val="宋体"/>
        <charset val="134"/>
      </rPr>
      <t>报价单请发zcgy.signer@zhzf-group.com正方专用报价邮箱。</t>
    </r>
  </si>
  <si>
    <t xml:space="preserve">     1、全费用综合单价包括但不限于实施和完成清单项目工程内容所需的直接费、间接费、管理费、利润、税金、规费、安全文明施工费、各类配合费、保险费、所有措施费、大型机械进出场费、运输费（含二次及多次转运费）、融资财务费、所有检验试验费、政策性文件规定调整费用、风险费（包括但不限于如人工涨价风险费、材料涨价风险费等）、本工程相关的各种协调费（包括与所有相关政府部门协调产生的费用）等所有费用，以及施工合同明示或暗示的所有责任、义务和风险，投标人的投标视为是一个有经验的投标人，在对工程充分了解及对风险充分估计后所作的完全投标。结算时全费用综合包干单价不因任何原因而调整。 </t>
  </si>
  <si>
    <r>
      <rPr>
        <sz val="11"/>
        <rFont val="宋体"/>
        <charset val="134"/>
      </rPr>
      <t xml:space="preserve">     2、</t>
    </r>
    <r>
      <rPr>
        <sz val="11"/>
        <color rgb="FFFF0000"/>
        <rFont val="宋体"/>
        <charset val="134"/>
      </rPr>
      <t>发票类型： □</t>
    </r>
    <r>
      <rPr>
        <u/>
        <sz val="11"/>
        <color rgb="FFFF0000"/>
        <rFont val="宋体"/>
        <charset val="134"/>
      </rPr>
      <t xml:space="preserve">    </t>
    </r>
    <r>
      <rPr>
        <sz val="11"/>
        <color rgb="FFFF0000"/>
        <rFont val="宋体"/>
        <charset val="134"/>
      </rPr>
      <t>%增值专用发票，</t>
    </r>
    <r>
      <rPr>
        <b/>
        <sz val="11"/>
        <color rgb="FFFF0000"/>
        <rFont val="宋体"/>
        <charset val="134"/>
      </rPr>
      <t>□</t>
    </r>
    <r>
      <rPr>
        <b/>
        <u/>
        <sz val="11"/>
        <color rgb="FFFF0000"/>
        <rFont val="宋体"/>
        <charset val="134"/>
      </rPr>
      <t xml:space="preserve">   </t>
    </r>
    <r>
      <rPr>
        <sz val="11"/>
        <color rgb="FFFF0000"/>
        <rFont val="宋体"/>
        <charset val="134"/>
      </rPr>
      <t>%增值税普通发票，□普通发票，□农产品免税发票</t>
    </r>
    <r>
      <rPr>
        <sz val="11"/>
        <rFont val="宋体"/>
        <charset val="134"/>
      </rPr>
      <t xml:space="preserve">
     注：如因国家政策变化导致增值税税率发生变化的，本合同项下不含增值税的合同价款金额不变，对应增值税金额按照新税率计算，合同价款总额作对应调整。</t>
    </r>
  </si>
  <si>
    <t>城市阳台S1斜坡漏水维修工程预算价</t>
  </si>
  <si>
    <t>集采序号</t>
  </si>
  <si>
    <t>部位</t>
  </si>
  <si>
    <t>维修项目</t>
  </si>
  <si>
    <t>维修施工方案说明（未作说明及备注的，均包含完成该项工作全部内容的一切费用）</t>
  </si>
  <si>
    <t>主材采购方式</t>
  </si>
  <si>
    <t>不含税综合单价组成</t>
  </si>
  <si>
    <t>不含税
综合单价</t>
  </si>
  <si>
    <t>不含税
合价</t>
  </si>
  <si>
    <t>主材费
（含损耗）</t>
  </si>
  <si>
    <t>人工费</t>
  </si>
  <si>
    <t>辅材费</t>
  </si>
  <si>
    <t>机械费</t>
  </si>
  <si>
    <t>管理费
及利润</t>
  </si>
  <si>
    <t>电梯门槛改造</t>
  </si>
  <si>
    <t>地面不锈钢板门槛更换</t>
  </si>
  <si>
    <t>1、地面不锈钢板门槛拆除及重新安装
2、材质：5mm厚304花纹不锈钢板
3、水泥砂浆结合层，结合层厚度及砂浆等级综合考虑
4、包含残值回收，垃圾清运，运距综合考虑
5、包含完成本项工作所需的人工、材料、机械等一切费用</t>
  </si>
  <si>
    <t>㎡</t>
  </si>
  <si>
    <t>电梯厅护角维修</t>
  </si>
  <si>
    <t>墙面护角更换</t>
  </si>
  <si>
    <t>1、墙面不锈钢护角更换
2、材质：3mm厚304不锈钢
3、护角尺寸：L25*25*3
4、包含完成本项工作所需的人工、材料、机械等一切费用</t>
  </si>
  <si>
    <t>电梯地面改造</t>
  </si>
  <si>
    <t>电梯地面不锈钢板</t>
  </si>
  <si>
    <t>1、名称：电梯地面不锈钢板
2、材质：5mm厚304花纹不锈钢板
3、水泥砂浆结合层，结合层厚度及砂浆等级综合考虑
4、包含完成本项工作所需的人工、材料、机械等一切费用</t>
  </si>
  <si>
    <t>不锈钢踢脚</t>
  </si>
  <si>
    <t>1、200mm高不锈钢踢脚
2、材质：5mm厚304花纹不锈钢板
3、包含完成本项工作所需的人工、材料、机械等一切费用</t>
  </si>
  <si>
    <t>墙柱面成品保护</t>
  </si>
  <si>
    <t>1、不含主材费
2、主材损耗率1.5%
3、清扫表面、铺设、成品保护、材料清理归堆，清洁表面</t>
  </si>
  <si>
    <t>乙供</t>
  </si>
  <si>
    <t>m2</t>
  </si>
  <si>
    <t>首层卸货区</t>
  </si>
  <si>
    <t>乳胶漆墙面翻新</t>
  </si>
  <si>
    <t>1、原墙面打磨清理，刮腻子两遍、刷涂料一底两遍
2、其他彩色涂料替换主材，按实际损耗调整主材费</t>
  </si>
  <si>
    <t>楼地面成品保护</t>
  </si>
  <si>
    <t>1、9mm胶合板
2、主材损耗率1.5%
3、清扫表面、铺设、成品保护、材料清理归堆，清洁表面</t>
  </si>
  <si>
    <t>拆除工程</t>
  </si>
  <si>
    <t>限位杆拆除</t>
  </si>
  <si>
    <t>1、名称：限位杆拆除
2、材质：2.0厚φ100钢管
3、包含残值回收、垃圾清运，运距综合考虑</t>
  </si>
  <si>
    <t>t</t>
  </si>
  <si>
    <t>1栋卸货区地面改造</t>
  </si>
  <si>
    <t>拆除素混凝土</t>
  </si>
  <si>
    <t>拆除钢筋混凝土，垃圾装袋清运出场。按照实际工程量计算。</t>
  </si>
  <si>
    <t>/</t>
  </si>
  <si>
    <t>m3</t>
  </si>
  <si>
    <t>地面</t>
  </si>
  <si>
    <t>更换地砖</t>
  </si>
  <si>
    <t>原地砖及原砂浆结合层拆除清运，含面层周边切割，清理基层，弹线，锯板磨边，调铺1:3水泥砂浆，铺面板，灌缝擦缝，清理净面等</t>
  </si>
  <si>
    <t>甲供/认质认价</t>
  </si>
  <si>
    <t>主材参考2025年10月信息价</t>
  </si>
  <si>
    <t>纱窗更换</t>
  </si>
  <si>
    <t>1、纱窗更换
2、材质：不锈钢纱网及铝合金+铝合金窗框
3、包含残值回收、垃圾清运，运距综合考虑
4、包含完成本项工作所需的人工、材料、机械等一切费用</t>
  </si>
  <si>
    <t>税金(9%)</t>
  </si>
  <si>
    <t>合计(已下浮2%)</t>
  </si>
  <si>
    <t>城市阳台增加加压泵及零星维修项目</t>
  </si>
  <si>
    <t>卫生间增加水泵</t>
  </si>
  <si>
    <t>石膏板天花增加成品维修口</t>
  </si>
  <si>
    <t>新增加加压水泵</t>
  </si>
  <si>
    <t>电气</t>
  </si>
  <si>
    <t>塑料电线管铺设（DN25）</t>
  </si>
  <si>
    <t>1、DN25 PE管
2、沟槽修整、接管、配管、固定、穿引线。</t>
  </si>
  <si>
    <t xml:space="preserve">配线，导线截面(2.5mm2以内) </t>
  </si>
  <si>
    <t>1、BV-2.5mm2
2、穿线等</t>
  </si>
  <si>
    <t>考虑10%损耗率</t>
  </si>
  <si>
    <t>漏电开关</t>
  </si>
  <si>
    <t>成品保护</t>
  </si>
  <si>
    <t>1、彩条布
2、主材损耗率1.5%
3、清扫表面、铺设、成品保护、材料清理归堆，清洁表面</t>
  </si>
  <si>
    <t>措施项目</t>
  </si>
  <si>
    <t>活动脚手架（天棚）</t>
  </si>
  <si>
    <t>材料运输、搭、拆脚手架及脚手架的租赁费</t>
  </si>
  <si>
    <t>更换铸铁窨井盖</t>
  </si>
  <si>
    <t>室外</t>
  </si>
  <si>
    <t>井圈修补</t>
  </si>
  <si>
    <t>包括凿除、修补、砂浆邬帮</t>
  </si>
  <si>
    <t>1、检查、拆除、更换
2、井盖尺寸：840×840
2、原窨井盖由第三方回收</t>
  </si>
  <si>
    <t>认质认价</t>
  </si>
  <si>
    <t>不锈钢装饰井盖</t>
  </si>
  <si>
    <t>只</t>
  </si>
  <si>
    <t>1、检查、拆除、更换
2、井盖尺寸：950×950
2、原窨井盖由第三方回收</t>
  </si>
  <si>
    <t>1、检查、拆除、更换
2、井盖尺寸：900×900
2、原窨井盖由第三方回收</t>
  </si>
  <si>
    <t>更换石材</t>
  </si>
  <si>
    <t>甲供</t>
  </si>
  <si>
    <t>葡国石100*100</t>
  </si>
  <si>
    <t>PC砖</t>
  </si>
  <si>
    <t>铁马围挡</t>
  </si>
  <si>
    <t>材料运输、搭、拆的租赁费。已综合考虑使用台班和时间</t>
  </si>
  <si>
    <t>排水管疏通改造</t>
  </si>
  <si>
    <t>雨污水管道疏通</t>
  </si>
  <si>
    <t>不含开挖</t>
  </si>
  <si>
    <t>雨、污水</t>
  </si>
  <si>
    <t>塑料管拆除（Φ150以内）</t>
  </si>
  <si>
    <t>拆除塑料管、现场清理</t>
  </si>
  <si>
    <t>Φ110塑料排水管安装</t>
  </si>
  <si>
    <t>1、不含主材费
4、管道及管件安装，灌水试验</t>
  </si>
  <si>
    <t>三楼露台树池木格栅更换</t>
  </si>
  <si>
    <t>拆除及安装室外木格栅（防腐木）</t>
  </si>
  <si>
    <t>1、拆除原损坏的木格栅
2、供应及安装60×60弧形防腐木
3、涂刷透明底漆，油棕色木蜡油3遍
4、垃圾清运，运距综合考虑</t>
  </si>
  <si>
    <t>正方城市阳台优和汇零星维修</t>
  </si>
  <si>
    <t>正方城市阳台优和汇</t>
  </si>
  <si>
    <t>一</t>
  </si>
  <si>
    <t>混凝土结构凿(压)槽，宽×深(mm以内) 120×120</t>
  </si>
  <si>
    <t>机械开槽，现场清理</t>
  </si>
  <si>
    <t>1、UPVC塑料排水管
4、管道及管件安装，灌水试验</t>
  </si>
</sst>
</file>

<file path=xl/styles.xml><?xml version="1.0" encoding="utf-8"?>
<styleSheet xmlns="http://schemas.openxmlformats.org/spreadsheetml/2006/main">
  <numFmts count="7">
    <numFmt numFmtId="176" formatCode="0.00_ "/>
    <numFmt numFmtId="177" formatCode="0.00_);[Red]\(0.00\)"/>
    <numFmt numFmtId="178"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3">
    <font>
      <sz val="10"/>
      <color rgb="FF000000"/>
      <name val="Times New Roman"/>
      <charset val="204"/>
    </font>
    <font>
      <sz val="11"/>
      <color indexed="8"/>
      <name val="宋体"/>
      <charset val="134"/>
    </font>
    <font>
      <sz val="11"/>
      <name val="宋体"/>
      <charset val="134"/>
    </font>
    <font>
      <b/>
      <sz val="18"/>
      <name val="黑体"/>
      <charset val="134"/>
    </font>
    <font>
      <b/>
      <sz val="11"/>
      <name val="微软雅黑"/>
      <charset val="134"/>
    </font>
    <font>
      <sz val="11"/>
      <color rgb="FF000000"/>
      <name val="宋体"/>
      <charset val="134"/>
      <scheme val="minor"/>
    </font>
    <font>
      <sz val="18"/>
      <name val="黑体"/>
      <charset val="134"/>
    </font>
    <font>
      <sz val="11"/>
      <color rgb="FFFF0000"/>
      <name val="宋体"/>
      <charset val="134"/>
    </font>
    <font>
      <b/>
      <sz val="11"/>
      <color rgb="FF000000"/>
      <name val="宋体"/>
      <charset val="134"/>
      <scheme val="minor"/>
    </font>
    <font>
      <b/>
      <sz val="11"/>
      <name val="宋体"/>
      <charset val="134"/>
    </font>
    <font>
      <sz val="11"/>
      <color theme="1"/>
      <name val="宋体"/>
      <charset val="134"/>
      <scheme val="minor"/>
    </font>
    <font>
      <b/>
      <sz val="11"/>
      <color theme="1"/>
      <name val="宋体"/>
      <charset val="134"/>
      <scheme val="minor"/>
    </font>
    <font>
      <sz val="11"/>
      <name val="宋体"/>
      <charset val="134"/>
      <scheme val="minor"/>
    </font>
    <font>
      <sz val="12"/>
      <color indexed="8"/>
      <name val="宋体"/>
      <charset val="134"/>
    </font>
    <font>
      <b/>
      <sz val="18"/>
      <color indexed="8"/>
      <name val="宋体"/>
      <charset val="134"/>
    </font>
    <font>
      <sz val="12"/>
      <name val="宋体"/>
      <charset val="134"/>
    </font>
    <font>
      <sz val="12"/>
      <color rgb="FFFF0000"/>
      <name val="宋体"/>
      <charset val="134"/>
    </font>
    <font>
      <b/>
      <sz val="12"/>
      <name val="宋体"/>
      <charset val="134"/>
    </font>
    <font>
      <sz val="11"/>
      <color indexed="8"/>
      <name val="宋体"/>
      <charset val="134"/>
      <scheme val="minor"/>
    </font>
    <font>
      <sz val="11"/>
      <name val="黑体"/>
      <charset val="134"/>
    </font>
    <font>
      <b/>
      <sz val="11"/>
      <color theme="3"/>
      <name val="宋体"/>
      <charset val="134"/>
      <scheme val="minor"/>
    </font>
    <font>
      <b/>
      <sz val="11"/>
      <color rgb="FFFA7D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b/>
      <sz val="11"/>
      <color indexed="10"/>
      <name val="宋体"/>
      <charset val="134"/>
    </font>
    <font>
      <u/>
      <sz val="11"/>
      <color rgb="FFFF0000"/>
      <name val="宋体"/>
      <charset val="134"/>
    </font>
    <font>
      <b/>
      <sz val="11"/>
      <color rgb="FFFF0000"/>
      <name val="宋体"/>
      <charset val="134"/>
    </font>
    <font>
      <b/>
      <u/>
      <sz val="11"/>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4">
    <xf numFmtId="0" fontId="0" fillId="0" borderId="0"/>
    <xf numFmtId="42" fontId="10" fillId="0" borderId="0" applyFont="0" applyFill="0" applyBorder="0" applyAlignment="0" applyProtection="0">
      <alignment vertical="center"/>
    </xf>
    <xf numFmtId="0" fontId="28" fillId="13" borderId="0" applyNumberFormat="0" applyBorder="0" applyAlignment="0" applyProtection="0">
      <alignment vertical="center"/>
    </xf>
    <xf numFmtId="0" fontId="24" fillId="4"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8" fillId="10" borderId="0" applyNumberFormat="0" applyBorder="0" applyAlignment="0" applyProtection="0">
      <alignment vertical="center"/>
    </xf>
    <xf numFmtId="0" fontId="27" fillId="7" borderId="0" applyNumberFormat="0" applyBorder="0" applyAlignment="0" applyProtection="0">
      <alignment vertical="center"/>
    </xf>
    <xf numFmtId="43" fontId="10" fillId="0" borderId="0" applyFont="0" applyFill="0" applyBorder="0" applyAlignment="0" applyProtection="0">
      <alignment vertical="center"/>
    </xf>
    <xf numFmtId="0" fontId="26" fillId="6"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5" borderId="11" applyNumberFormat="0" applyFont="0" applyAlignment="0" applyProtection="0">
      <alignment vertical="center"/>
    </xf>
    <xf numFmtId="0" fontId="26" fillId="18" borderId="0" applyNumberFormat="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10" applyNumberFormat="0" applyFill="0" applyAlignment="0" applyProtection="0">
      <alignment vertical="center"/>
    </xf>
    <xf numFmtId="0" fontId="33" fillId="0" borderId="10" applyNumberFormat="0" applyFill="0" applyAlignment="0" applyProtection="0">
      <alignment vertical="center"/>
    </xf>
    <xf numFmtId="0" fontId="26" fillId="9" borderId="0" applyNumberFormat="0" applyBorder="0" applyAlignment="0" applyProtection="0">
      <alignment vertical="center"/>
    </xf>
    <xf numFmtId="0" fontId="20" fillId="0" borderId="6" applyNumberFormat="0" applyFill="0" applyAlignment="0" applyProtection="0">
      <alignment vertical="center"/>
    </xf>
    <xf numFmtId="0" fontId="26" fillId="20" borderId="0" applyNumberFormat="0" applyBorder="0" applyAlignment="0" applyProtection="0">
      <alignment vertical="center"/>
    </xf>
    <xf numFmtId="0" fontId="22" fillId="3" borderId="8" applyNumberFormat="0" applyAlignment="0" applyProtection="0">
      <alignment vertical="center"/>
    </xf>
    <xf numFmtId="0" fontId="21" fillId="3" borderId="7" applyNumberFormat="0" applyAlignment="0" applyProtection="0">
      <alignment vertical="center"/>
    </xf>
    <xf numFmtId="0" fontId="29" fillId="14" borderId="9" applyNumberFormat="0" applyAlignment="0" applyProtection="0">
      <alignment vertical="center"/>
    </xf>
    <xf numFmtId="0" fontId="28" fillId="21" borderId="0" applyNumberFormat="0" applyBorder="0" applyAlignment="0" applyProtection="0">
      <alignment vertical="center"/>
    </xf>
    <xf numFmtId="0" fontId="26" fillId="19" borderId="0" applyNumberFormat="0" applyBorder="0" applyAlignment="0" applyProtection="0">
      <alignment vertical="center"/>
    </xf>
    <xf numFmtId="0" fontId="38" fillId="0" borderId="13" applyNumberFormat="0" applyFill="0" applyAlignment="0" applyProtection="0">
      <alignment vertical="center"/>
    </xf>
    <xf numFmtId="0" fontId="36" fillId="0" borderId="12" applyNumberFormat="0" applyFill="0" applyAlignment="0" applyProtection="0">
      <alignment vertical="center"/>
    </xf>
    <xf numFmtId="0" fontId="37" fillId="23" borderId="0" applyNumberFormat="0" applyBorder="0" applyAlignment="0" applyProtection="0">
      <alignment vertical="center"/>
    </xf>
    <xf numFmtId="0" fontId="25" fillId="5" borderId="0" applyNumberFormat="0" applyBorder="0" applyAlignment="0" applyProtection="0">
      <alignment vertical="center"/>
    </xf>
    <xf numFmtId="0" fontId="28" fillId="17" borderId="0" applyNumberFormat="0" applyBorder="0" applyAlignment="0" applyProtection="0">
      <alignment vertical="center"/>
    </xf>
    <xf numFmtId="0" fontId="26" fillId="26" borderId="0" applyNumberFormat="0" applyBorder="0" applyAlignment="0" applyProtection="0">
      <alignment vertical="center"/>
    </xf>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28" fillId="16" borderId="0" applyNumberFormat="0" applyBorder="0" applyAlignment="0" applyProtection="0">
      <alignment vertical="center"/>
    </xf>
    <xf numFmtId="0" fontId="28" fillId="28" borderId="0" applyNumberFormat="0" applyBorder="0" applyAlignment="0" applyProtection="0">
      <alignment vertical="center"/>
    </xf>
    <xf numFmtId="0" fontId="26" fillId="27" borderId="0" applyNumberFormat="0" applyBorder="0" applyAlignment="0" applyProtection="0">
      <alignment vertical="center"/>
    </xf>
    <xf numFmtId="0" fontId="26" fillId="8"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6" fillId="22" borderId="0" applyNumberFormat="0" applyBorder="0" applyAlignment="0" applyProtection="0">
      <alignment vertical="center"/>
    </xf>
    <xf numFmtId="0" fontId="28" fillId="11"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8" fillId="30" borderId="0" applyNumberFormat="0" applyBorder="0" applyAlignment="0" applyProtection="0">
      <alignment vertical="center"/>
    </xf>
    <xf numFmtId="0" fontId="26" fillId="33" borderId="0" applyNumberFormat="0" applyBorder="0" applyAlignment="0" applyProtection="0">
      <alignment vertical="center"/>
    </xf>
    <xf numFmtId="0" fontId="1" fillId="0" borderId="0">
      <alignment vertical="center"/>
    </xf>
    <xf numFmtId="0" fontId="15" fillId="0" borderId="0">
      <alignment vertical="center"/>
    </xf>
    <xf numFmtId="0" fontId="15" fillId="0" borderId="0"/>
    <xf numFmtId="0" fontId="15" fillId="0" borderId="0"/>
    <xf numFmtId="0" fontId="15" fillId="0" borderId="0" applyProtection="0"/>
  </cellStyleXfs>
  <cellXfs count="86">
    <xf numFmtId="0" fontId="0" fillId="0" borderId="0" xfId="0" applyFill="1" applyBorder="1" applyAlignment="1">
      <alignment horizontal="left" vertical="top"/>
    </xf>
    <xf numFmtId="0" fontId="1" fillId="0" borderId="0" xfId="0" applyFont="1" applyFill="1" applyAlignment="1">
      <alignment vertical="center"/>
    </xf>
    <xf numFmtId="0" fontId="2" fillId="0" borderId="0" xfId="53" applyNumberFormat="1" applyFont="1" applyFill="1" applyAlignment="1">
      <alignment horizontal="center" vertical="center" wrapText="1"/>
    </xf>
    <xf numFmtId="178" fontId="3" fillId="0" borderId="0" xfId="53" applyNumberFormat="1" applyFont="1" applyFill="1" applyBorder="1" applyAlignment="1">
      <alignment horizontal="center" vertical="center" wrapText="1"/>
    </xf>
    <xf numFmtId="0" fontId="3" fillId="0" borderId="0" xfId="53" applyNumberFormat="1" applyFont="1" applyFill="1" applyBorder="1" applyAlignment="1">
      <alignment horizontal="center" vertical="center" wrapText="1"/>
    </xf>
    <xf numFmtId="0" fontId="3" fillId="0" borderId="0" xfId="53" applyNumberFormat="1" applyFont="1" applyFill="1" applyBorder="1" applyAlignment="1">
      <alignment horizontal="left" vertical="center" wrapText="1"/>
    </xf>
    <xf numFmtId="178" fontId="4" fillId="0" borderId="1" xfId="53" applyNumberFormat="1"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1" xfId="53" applyNumberFormat="1" applyFont="1" applyFill="1" applyBorder="1" applyAlignment="1">
      <alignment horizontal="left" vertical="center" wrapText="1"/>
    </xf>
    <xf numFmtId="178" fontId="2" fillId="0" borderId="1" xfId="53"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1" fillId="0" borderId="1" xfId="0" applyFont="1" applyFill="1" applyBorder="1" applyAlignment="1">
      <alignment vertical="center"/>
    </xf>
    <xf numFmtId="0" fontId="2" fillId="0" borderId="1" xfId="53" applyNumberFormat="1" applyFont="1" applyFill="1" applyBorder="1" applyAlignment="1">
      <alignment horizontal="center" vertical="center" wrapText="1"/>
    </xf>
    <xf numFmtId="0" fontId="2" fillId="0" borderId="1" xfId="53" applyNumberFormat="1" applyFont="1" applyFill="1" applyBorder="1" applyAlignment="1">
      <alignment horizontal="left" vertical="center" wrapText="1"/>
    </xf>
    <xf numFmtId="43" fontId="3" fillId="0" borderId="0" xfId="53" applyNumberFormat="1" applyFont="1" applyFill="1" applyBorder="1" applyAlignment="1">
      <alignment horizontal="center" vertical="center" wrapText="1"/>
    </xf>
    <xf numFmtId="43" fontId="6" fillId="0" borderId="0" xfId="53" applyNumberFormat="1" applyFont="1" applyFill="1" applyBorder="1" applyAlignment="1">
      <alignment horizontal="center" vertical="center" wrapText="1"/>
    </xf>
    <xf numFmtId="43" fontId="4" fillId="0" borderId="1" xfId="53" applyNumberFormat="1" applyFont="1" applyFill="1" applyBorder="1" applyAlignment="1">
      <alignment horizontal="center" vertical="center" wrapText="1"/>
    </xf>
    <xf numFmtId="43" fontId="2" fillId="0" borderId="1" xfId="53" applyNumberFormat="1" applyFont="1" applyFill="1" applyBorder="1" applyAlignment="1">
      <alignment horizontal="center" vertical="center" wrapText="1"/>
    </xf>
    <xf numFmtId="43" fontId="7" fillId="0" borderId="1" xfId="53" applyNumberFormat="1" applyFont="1" applyFill="1" applyBorder="1" applyAlignment="1">
      <alignment horizontal="center" vertical="center" wrapText="1"/>
    </xf>
    <xf numFmtId="0" fontId="2" fillId="0" borderId="0" xfId="0" applyFont="1" applyFill="1" applyAlignment="1">
      <alignment vertical="center"/>
    </xf>
    <xf numFmtId="0" fontId="2" fillId="0" borderId="0" xfId="53" applyNumberFormat="1" applyFont="1" applyFill="1" applyBorder="1" applyAlignment="1">
      <alignment horizontal="center" vertical="center" wrapText="1"/>
    </xf>
    <xf numFmtId="0" fontId="8" fillId="2" borderId="3" xfId="0" applyFont="1" applyFill="1" applyBorder="1" applyAlignment="1">
      <alignment horizontal="left" vertical="center"/>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178" fontId="2" fillId="0" borderId="4" xfId="53" applyNumberFormat="1" applyFont="1" applyFill="1" applyBorder="1" applyAlignment="1">
      <alignment horizontal="center" vertical="center" wrapText="1"/>
    </xf>
    <xf numFmtId="0" fontId="2" fillId="0" borderId="1" xfId="53" applyNumberFormat="1" applyFont="1" applyFill="1" applyBorder="1" applyAlignment="1">
      <alignment vertical="center" wrapText="1"/>
    </xf>
    <xf numFmtId="177" fontId="9" fillId="0" borderId="1" xfId="53" applyNumberFormat="1" applyFont="1" applyFill="1" applyBorder="1" applyAlignment="1">
      <alignment horizontal="left" vertical="center" wrapText="1"/>
    </xf>
    <xf numFmtId="0" fontId="8" fillId="0" borderId="3" xfId="0" applyFont="1" applyFill="1" applyBorder="1" applyAlignment="1">
      <alignment horizontal="left" vertical="center"/>
    </xf>
    <xf numFmtId="0" fontId="5" fillId="2"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2" fillId="0" borderId="0" xfId="0" applyFont="1" applyFill="1" applyBorder="1" applyAlignment="1">
      <alignment vertical="center"/>
    </xf>
    <xf numFmtId="43" fontId="0" fillId="0" borderId="0" xfId="8" applyFont="1" applyFill="1" applyBorder="1" applyAlignment="1">
      <alignment horizontal="left" vertical="top"/>
    </xf>
    <xf numFmtId="0" fontId="11" fillId="0" borderId="1" xfId="0" applyFont="1" applyFill="1" applyBorder="1" applyAlignment="1">
      <alignment horizontal="center" vertical="center"/>
    </xf>
    <xf numFmtId="0" fontId="5" fillId="2" borderId="5" xfId="0" applyFont="1" applyFill="1" applyBorder="1" applyAlignment="1">
      <alignment horizontal="left" vertical="center" wrapText="1"/>
    </xf>
    <xf numFmtId="176" fontId="2" fillId="0" borderId="1" xfId="53"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43" fontId="3" fillId="0" borderId="0" xfId="8" applyFont="1" applyFill="1" applyBorder="1" applyAlignment="1">
      <alignment horizontal="center" vertical="center" wrapText="1"/>
    </xf>
    <xf numFmtId="43" fontId="6" fillId="0" borderId="0" xfId="8" applyFont="1" applyFill="1" applyBorder="1" applyAlignment="1">
      <alignment horizontal="center" vertical="center" wrapText="1"/>
    </xf>
    <xf numFmtId="43" fontId="4" fillId="0" borderId="1" xfId="8" applyFont="1" applyFill="1" applyBorder="1" applyAlignment="1">
      <alignment horizontal="center" vertical="center" wrapText="1"/>
    </xf>
    <xf numFmtId="43" fontId="10" fillId="0" borderId="1" xfId="8" applyFont="1" applyFill="1" applyBorder="1" applyAlignment="1">
      <alignment horizontal="center" vertical="center"/>
    </xf>
    <xf numFmtId="43" fontId="2" fillId="0" borderId="1" xfId="8" applyFont="1" applyFill="1" applyBorder="1" applyAlignment="1">
      <alignment horizontal="center" vertical="center" wrapText="1"/>
    </xf>
    <xf numFmtId="43" fontId="11" fillId="0" borderId="1" xfId="8" applyFont="1" applyFill="1" applyBorder="1" applyAlignment="1">
      <alignment horizontal="center" vertical="center"/>
    </xf>
    <xf numFmtId="43" fontId="7" fillId="0" borderId="1" xfId="8" applyFont="1" applyFill="1" applyBorder="1" applyAlignment="1">
      <alignment horizontal="center" vertical="center" wrapText="1"/>
    </xf>
    <xf numFmtId="0" fontId="12" fillId="0" borderId="0" xfId="0" applyFont="1" applyFill="1" applyAlignment="1">
      <alignment vertical="center"/>
    </xf>
    <xf numFmtId="0" fontId="0" fillId="0" borderId="0" xfId="0" applyFill="1" applyBorder="1" applyAlignment="1">
      <alignment horizontal="center" vertical="top"/>
    </xf>
    <xf numFmtId="0" fontId="10" fillId="0" borderId="0" xfId="0" applyFont="1" applyFill="1" applyBorder="1" applyAlignment="1">
      <alignment vertical="center"/>
    </xf>
    <xf numFmtId="0" fontId="10" fillId="0" borderId="0" xfId="0" applyFont="1" applyFill="1" applyAlignment="1">
      <alignment vertical="center"/>
    </xf>
    <xf numFmtId="0" fontId="13" fillId="0" borderId="0" xfId="0" applyFont="1" applyFill="1" applyAlignment="1">
      <alignment vertical="center"/>
    </xf>
    <xf numFmtId="177" fontId="0" fillId="0" borderId="0" xfId="8" applyNumberFormat="1" applyFont="1" applyFill="1" applyBorder="1" applyAlignment="1">
      <alignment horizontal="left" vertical="top"/>
    </xf>
    <xf numFmtId="0" fontId="1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2" fillId="0" borderId="0" xfId="0" applyFont="1" applyFill="1" applyAlignment="1">
      <alignment horizontal="left" vertical="center"/>
    </xf>
    <xf numFmtId="43" fontId="12" fillId="0" borderId="0" xfId="8" applyFont="1" applyAlignment="1">
      <alignment vertical="center"/>
    </xf>
    <xf numFmtId="177" fontId="12" fillId="0" borderId="0" xfId="8" applyNumberFormat="1" applyFont="1" applyAlignment="1">
      <alignment horizontal="left" vertical="center"/>
    </xf>
    <xf numFmtId="177" fontId="12" fillId="0" borderId="0" xfId="8" applyNumberFormat="1" applyFont="1" applyFill="1" applyAlignment="1">
      <alignment vertical="center"/>
    </xf>
    <xf numFmtId="0" fontId="12" fillId="0" borderId="0" xfId="0" applyFont="1" applyFill="1" applyAlignment="1">
      <alignment horizontal="left" vertical="center" wrapText="1"/>
    </xf>
    <xf numFmtId="43" fontId="12" fillId="0" borderId="0" xfId="8" applyFont="1" applyFill="1" applyAlignment="1">
      <alignment horizontal="left" vertical="center" wrapText="1"/>
    </xf>
    <xf numFmtId="177" fontId="12" fillId="0" borderId="0" xfId="8" applyNumberFormat="1" applyFont="1" applyFill="1" applyAlignment="1">
      <alignment horizontal="left" vertical="center" wrapText="1"/>
    </xf>
    <xf numFmtId="0" fontId="17" fillId="0" borderId="1" xfId="0" applyFont="1" applyFill="1" applyBorder="1" applyAlignment="1">
      <alignment horizontal="center" vertical="center" wrapText="1"/>
    </xf>
    <xf numFmtId="43" fontId="17" fillId="0" borderId="1" xfId="8" applyFont="1" applyFill="1" applyBorder="1" applyAlignment="1">
      <alignment horizontal="center" vertical="center" wrapText="1"/>
    </xf>
    <xf numFmtId="177" fontId="17" fillId="0" borderId="1" xfId="8" applyNumberFormat="1" applyFont="1" applyFill="1" applyBorder="1" applyAlignment="1">
      <alignment horizontal="center" vertical="center" wrapText="1"/>
    </xf>
    <xf numFmtId="177" fontId="2" fillId="0" borderId="1" xfId="8" applyNumberFormat="1" applyFont="1" applyFill="1" applyBorder="1" applyAlignment="1">
      <alignment horizontal="center" vertical="center" wrapText="1"/>
    </xf>
    <xf numFmtId="177" fontId="10" fillId="0" borderId="1" xfId="8" applyNumberFormat="1" applyFont="1" applyFill="1" applyBorder="1" applyAlignment="1">
      <alignment horizontal="center" vertical="center"/>
    </xf>
    <xf numFmtId="0" fontId="13" fillId="0" borderId="1" xfId="0" applyFont="1" applyFill="1" applyBorder="1" applyAlignment="1">
      <alignment vertical="center" wrapText="1"/>
    </xf>
    <xf numFmtId="177" fontId="18" fillId="0" borderId="1" xfId="8"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3" fontId="2" fillId="0" borderId="1" xfId="8" applyFont="1" applyFill="1" applyBorder="1" applyAlignment="1">
      <alignment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177" fontId="15" fillId="0" borderId="1" xfId="8"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9" fillId="0" borderId="0" xfId="0" applyFont="1" applyFill="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填方概算0307" xfId="50"/>
    <cellStyle name="常规_斗门区管网改造工程-汇总封面" xfId="51"/>
    <cellStyle name="常规_原单价 高栏港概算（最终）08" xfId="52"/>
    <cellStyle name="常规 14"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29"/>
  <sheetViews>
    <sheetView tabSelected="1" workbookViewId="0">
      <selection activeCell="A7" sqref="A7:H7"/>
    </sheetView>
  </sheetViews>
  <sheetFormatPr defaultColWidth="9" defaultRowHeight="13.05"/>
  <cols>
    <col min="1" max="1" width="7.83695652173913" customWidth="1"/>
    <col min="2" max="2" width="17.5" customWidth="1"/>
    <col min="3" max="3" width="38" customWidth="1"/>
    <col min="4" max="4" width="6.5" customWidth="1"/>
    <col min="5" max="5" width="11.3369565217391" style="36" customWidth="1"/>
    <col min="6" max="7" width="17.3369565217391" style="53" customWidth="1"/>
    <col min="8" max="8" width="8" customWidth="1"/>
  </cols>
  <sheetData>
    <row r="1" ht="22.9" spans="1:8">
      <c r="A1" s="54" t="s">
        <v>0</v>
      </c>
      <c r="B1" s="54"/>
      <c r="C1" s="54"/>
      <c r="D1" s="54"/>
      <c r="E1" s="54"/>
      <c r="F1" s="54"/>
      <c r="G1" s="54"/>
      <c r="H1" s="54"/>
    </row>
    <row r="2" ht="17" customHeight="1" spans="1:8">
      <c r="A2" s="55" t="s">
        <v>1</v>
      </c>
      <c r="B2" s="55"/>
      <c r="C2" s="56"/>
      <c r="D2" s="57"/>
      <c r="E2" s="58"/>
      <c r="F2" s="59" t="s">
        <v>2</v>
      </c>
      <c r="G2" s="59"/>
      <c r="H2" s="59"/>
    </row>
    <row r="3" ht="17" customHeight="1" spans="1:8">
      <c r="A3" s="55" t="s">
        <v>3</v>
      </c>
      <c r="B3" s="55"/>
      <c r="C3" s="56"/>
      <c r="D3" s="57"/>
      <c r="E3" s="58"/>
      <c r="F3" s="60" t="s">
        <v>4</v>
      </c>
      <c r="G3" s="60"/>
      <c r="H3" s="60"/>
    </row>
    <row r="4" ht="17" customHeight="1" spans="1:16381">
      <c r="A4" s="55" t="s">
        <v>5</v>
      </c>
      <c r="B4" s="55"/>
      <c r="C4" s="56"/>
      <c r="D4" s="57"/>
      <c r="E4" s="58"/>
      <c r="F4" s="58"/>
      <c r="G4" s="57"/>
      <c r="H4" s="57"/>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c r="XDD4" s="48"/>
      <c r="XDE4" s="48"/>
      <c r="XDF4" s="48"/>
      <c r="XDG4" s="48"/>
      <c r="XDH4" s="48"/>
      <c r="XDI4" s="48"/>
      <c r="XDJ4" s="48"/>
      <c r="XDK4" s="48"/>
      <c r="XDL4" s="48"/>
      <c r="XDM4" s="48"/>
      <c r="XDN4" s="48"/>
      <c r="XDO4" s="48"/>
      <c r="XDP4" s="48"/>
      <c r="XDQ4" s="48"/>
      <c r="XDR4" s="48"/>
      <c r="XDS4" s="48"/>
      <c r="XDT4" s="48"/>
      <c r="XDU4" s="48"/>
      <c r="XDV4" s="48"/>
      <c r="XDW4" s="48"/>
      <c r="XDX4" s="48"/>
      <c r="XDY4" s="48"/>
      <c r="XDZ4" s="48"/>
      <c r="XEA4" s="48"/>
      <c r="XEB4" s="48"/>
      <c r="XEC4" s="48"/>
      <c r="XED4" s="48"/>
      <c r="XEE4" s="48"/>
      <c r="XEF4" s="48"/>
      <c r="XEG4" s="48"/>
      <c r="XEH4" s="48"/>
      <c r="XEI4" s="48"/>
      <c r="XEJ4" s="48"/>
      <c r="XEK4" s="48"/>
      <c r="XEL4" s="48"/>
      <c r="XEM4" s="48"/>
      <c r="XEN4" s="48"/>
      <c r="XEO4" s="48"/>
      <c r="XEP4" s="48"/>
      <c r="XEQ4" s="48"/>
      <c r="XER4" s="48"/>
      <c r="XES4" s="48"/>
      <c r="XET4" s="48"/>
      <c r="XEU4" s="85"/>
      <c r="XEV4" s="85"/>
      <c r="XEW4" s="85"/>
      <c r="XEX4" s="85"/>
      <c r="XEY4" s="85"/>
      <c r="XEZ4" s="85"/>
      <c r="XFA4" s="1"/>
    </row>
    <row r="5" s="48" customFormat="1" ht="17" customHeight="1" spans="1:7">
      <c r="A5" s="61" t="s">
        <v>6</v>
      </c>
      <c r="B5" s="61"/>
      <c r="C5" s="61"/>
      <c r="E5" s="62"/>
      <c r="F5" s="63"/>
      <c r="G5" s="64"/>
    </row>
    <row r="6" s="48" customFormat="1" ht="17" customHeight="1" spans="1:8">
      <c r="A6" s="65" t="s">
        <v>7</v>
      </c>
      <c r="B6" s="65"/>
      <c r="C6" s="65"/>
      <c r="D6" s="65"/>
      <c r="E6" s="66"/>
      <c r="F6" s="67"/>
      <c r="G6" s="67"/>
      <c r="H6" s="65"/>
    </row>
    <row r="7" s="48" customFormat="1" ht="17" customHeight="1" spans="1:8">
      <c r="A7" s="65" t="s">
        <v>8</v>
      </c>
      <c r="B7" s="65"/>
      <c r="C7" s="65"/>
      <c r="D7" s="65"/>
      <c r="E7" s="66"/>
      <c r="F7" s="67"/>
      <c r="G7" s="67"/>
      <c r="H7" s="65"/>
    </row>
    <row r="8" s="49" customFormat="1" ht="34" customHeight="1" spans="1:8">
      <c r="A8" s="68" t="s">
        <v>9</v>
      </c>
      <c r="B8" s="68" t="s">
        <v>10</v>
      </c>
      <c r="C8" s="68" t="s">
        <v>11</v>
      </c>
      <c r="D8" s="68" t="s">
        <v>12</v>
      </c>
      <c r="E8" s="69" t="s">
        <v>13</v>
      </c>
      <c r="F8" s="70" t="s">
        <v>14</v>
      </c>
      <c r="G8" s="70" t="s">
        <v>15</v>
      </c>
      <c r="H8" s="68" t="s">
        <v>16</v>
      </c>
    </row>
    <row r="9" s="50" customFormat="1" ht="91.65" spans="1:8">
      <c r="A9" s="34">
        <v>1</v>
      </c>
      <c r="B9" s="33" t="s">
        <v>17</v>
      </c>
      <c r="C9" s="33" t="s">
        <v>18</v>
      </c>
      <c r="D9" s="28" t="s">
        <v>19</v>
      </c>
      <c r="E9" s="44">
        <v>1</v>
      </c>
      <c r="F9" s="71"/>
      <c r="G9" s="72"/>
      <c r="H9" s="73"/>
    </row>
    <row r="10" s="51" customFormat="1" ht="91.65" spans="1:8">
      <c r="A10" s="34">
        <v>2</v>
      </c>
      <c r="B10" s="33" t="s">
        <v>20</v>
      </c>
      <c r="C10" s="26" t="s">
        <v>21</v>
      </c>
      <c r="D10" s="28" t="s">
        <v>22</v>
      </c>
      <c r="E10" s="45">
        <v>3</v>
      </c>
      <c r="F10" s="71"/>
      <c r="G10" s="72"/>
      <c r="H10" s="73"/>
    </row>
    <row r="11" s="51" customFormat="1" ht="39.25" spans="1:8">
      <c r="A11" s="34">
        <v>3</v>
      </c>
      <c r="B11" s="33" t="s">
        <v>23</v>
      </c>
      <c r="C11" s="33" t="s">
        <v>24</v>
      </c>
      <c r="D11" s="28" t="s">
        <v>25</v>
      </c>
      <c r="E11" s="44">
        <v>2</v>
      </c>
      <c r="F11" s="71"/>
      <c r="G11" s="72"/>
      <c r="H11" s="73"/>
    </row>
    <row r="12" s="51" customFormat="1" ht="39.25" spans="1:8">
      <c r="A12" s="34">
        <v>4</v>
      </c>
      <c r="B12" s="33" t="s">
        <v>26</v>
      </c>
      <c r="C12" s="33" t="s">
        <v>24</v>
      </c>
      <c r="D12" s="28" t="s">
        <v>25</v>
      </c>
      <c r="E12" s="44">
        <v>2</v>
      </c>
      <c r="F12" s="71"/>
      <c r="G12" s="72"/>
      <c r="H12" s="73"/>
    </row>
    <row r="13" s="51" customFormat="1" ht="52.35" spans="1:8">
      <c r="A13" s="34">
        <v>5</v>
      </c>
      <c r="B13" s="26" t="s">
        <v>27</v>
      </c>
      <c r="C13" s="26" t="s">
        <v>28</v>
      </c>
      <c r="D13" s="28" t="s">
        <v>29</v>
      </c>
      <c r="E13" s="45">
        <v>2</v>
      </c>
      <c r="F13" s="71"/>
      <c r="G13" s="72"/>
      <c r="H13" s="73"/>
    </row>
    <row r="14" s="51" customFormat="1" ht="52.35" spans="1:8">
      <c r="A14" s="34">
        <v>6</v>
      </c>
      <c r="B14" s="17" t="s">
        <v>30</v>
      </c>
      <c r="C14" s="17" t="s">
        <v>31</v>
      </c>
      <c r="D14" s="28" t="s">
        <v>25</v>
      </c>
      <c r="E14" s="44">
        <v>2</v>
      </c>
      <c r="F14" s="71"/>
      <c r="G14" s="72"/>
      <c r="H14" s="73"/>
    </row>
    <row r="15" s="51" customFormat="1" ht="39.25" spans="1:8">
      <c r="A15" s="34">
        <v>7</v>
      </c>
      <c r="B15" s="11" t="s">
        <v>32</v>
      </c>
      <c r="C15" s="12" t="s">
        <v>33</v>
      </c>
      <c r="D15" s="28" t="s">
        <v>25</v>
      </c>
      <c r="E15" s="45">
        <v>40</v>
      </c>
      <c r="F15" s="71"/>
      <c r="G15" s="72"/>
      <c r="H15" s="73"/>
    </row>
    <row r="16" s="51" customFormat="1" ht="65.45" spans="1:8">
      <c r="A16" s="34">
        <v>8</v>
      </c>
      <c r="B16" s="17" t="s">
        <v>34</v>
      </c>
      <c r="C16" s="17" t="s">
        <v>35</v>
      </c>
      <c r="D16" s="28" t="s">
        <v>25</v>
      </c>
      <c r="E16" s="44">
        <v>40</v>
      </c>
      <c r="F16" s="71"/>
      <c r="G16" s="72"/>
      <c r="H16" s="73"/>
    </row>
    <row r="17" s="51" customFormat="1" ht="39.25" spans="1:8">
      <c r="A17" s="34">
        <v>9</v>
      </c>
      <c r="B17" s="17" t="s">
        <v>36</v>
      </c>
      <c r="C17" s="17" t="s">
        <v>37</v>
      </c>
      <c r="D17" s="28" t="s">
        <v>38</v>
      </c>
      <c r="E17" s="44">
        <f>5*0.1*0.3</f>
        <v>0.15</v>
      </c>
      <c r="F17" s="71"/>
      <c r="G17" s="72"/>
      <c r="H17" s="73"/>
    </row>
    <row r="18" s="51" customFormat="1" ht="39.25" spans="1:8">
      <c r="A18" s="34">
        <v>10</v>
      </c>
      <c r="B18" s="17" t="s">
        <v>39</v>
      </c>
      <c r="C18" s="17" t="s">
        <v>40</v>
      </c>
      <c r="D18" s="28" t="s">
        <v>38</v>
      </c>
      <c r="E18" s="44">
        <f>5*0.1*0.3</f>
        <v>0.15</v>
      </c>
      <c r="F18" s="71"/>
      <c r="G18" s="72"/>
      <c r="H18" s="73"/>
    </row>
    <row r="19" s="51" customFormat="1" ht="34" customHeight="1" spans="1:8">
      <c r="A19" s="34">
        <v>11</v>
      </c>
      <c r="B19" s="33" t="s">
        <v>41</v>
      </c>
      <c r="C19" s="17" t="s">
        <v>42</v>
      </c>
      <c r="D19" s="34" t="s">
        <v>43</v>
      </c>
      <c r="E19" s="44">
        <v>1</v>
      </c>
      <c r="F19" s="74"/>
      <c r="G19" s="72"/>
      <c r="H19" s="73"/>
    </row>
    <row r="20" s="51" customFormat="1" ht="39.25" spans="1:8">
      <c r="A20" s="34">
        <v>12</v>
      </c>
      <c r="B20" s="33" t="s">
        <v>44</v>
      </c>
      <c r="C20" s="17" t="s">
        <v>45</v>
      </c>
      <c r="D20" s="34" t="s">
        <v>29</v>
      </c>
      <c r="E20" s="44">
        <v>4</v>
      </c>
      <c r="F20" s="74"/>
      <c r="G20" s="72"/>
      <c r="H20" s="73"/>
    </row>
    <row r="21" s="51" customFormat="1" ht="39.25" spans="1:8">
      <c r="A21" s="34">
        <v>13</v>
      </c>
      <c r="B21" s="33" t="s">
        <v>46</v>
      </c>
      <c r="C21" s="17" t="s">
        <v>45</v>
      </c>
      <c r="D21" s="34" t="s">
        <v>29</v>
      </c>
      <c r="E21" s="44">
        <v>6</v>
      </c>
      <c r="F21" s="74"/>
      <c r="G21" s="72"/>
      <c r="H21" s="73"/>
    </row>
    <row r="22" s="51" customFormat="1" ht="34" customHeight="1" spans="1:8">
      <c r="A22" s="34">
        <v>14</v>
      </c>
      <c r="B22" s="33" t="s">
        <v>47</v>
      </c>
      <c r="C22" s="17" t="s">
        <v>48</v>
      </c>
      <c r="D22" s="34" t="s">
        <v>49</v>
      </c>
      <c r="E22" s="44">
        <v>1</v>
      </c>
      <c r="F22" s="74"/>
      <c r="G22" s="72"/>
      <c r="H22" s="73"/>
    </row>
    <row r="23" s="51" customFormat="1" ht="39.25" spans="1:8">
      <c r="A23" s="34">
        <v>15</v>
      </c>
      <c r="B23" s="33" t="s">
        <v>50</v>
      </c>
      <c r="C23" s="26" t="s">
        <v>51</v>
      </c>
      <c r="D23" s="28" t="s">
        <v>43</v>
      </c>
      <c r="E23" s="44">
        <v>1</v>
      </c>
      <c r="F23" s="74"/>
      <c r="G23" s="72"/>
      <c r="H23" s="73"/>
    </row>
    <row r="24" s="1" customFormat="1" ht="39.25" spans="1:8">
      <c r="A24" s="34">
        <v>16</v>
      </c>
      <c r="B24" s="75" t="s">
        <v>52</v>
      </c>
      <c r="C24" s="17" t="s">
        <v>53</v>
      </c>
      <c r="D24" s="76" t="s">
        <v>29</v>
      </c>
      <c r="E24" s="77">
        <v>7</v>
      </c>
      <c r="F24" s="74"/>
      <c r="G24" s="71"/>
      <c r="H24" s="78"/>
    </row>
    <row r="25" s="51" customFormat="1" ht="34" customHeight="1" spans="1:8">
      <c r="A25" s="34">
        <v>17</v>
      </c>
      <c r="B25" s="33" t="s">
        <v>54</v>
      </c>
      <c r="C25" s="12" t="s">
        <v>55</v>
      </c>
      <c r="D25" s="28" t="s">
        <v>43</v>
      </c>
      <c r="E25" s="44">
        <v>1</v>
      </c>
      <c r="F25" s="71"/>
      <c r="G25" s="72"/>
      <c r="H25" s="73"/>
    </row>
    <row r="26" s="52" customFormat="1" ht="36" customHeight="1" spans="1:8">
      <c r="A26" s="79" t="s">
        <v>56</v>
      </c>
      <c r="B26" s="34"/>
      <c r="C26" s="34"/>
      <c r="D26" s="34"/>
      <c r="E26" s="34"/>
      <c r="F26" s="80"/>
      <c r="G26" s="81">
        <f>SUM(G9:G25)*0.09</f>
        <v>0</v>
      </c>
      <c r="H26" s="82"/>
    </row>
    <row r="27" ht="30" customHeight="1" spans="1:8">
      <c r="A27" s="83" t="s">
        <v>57</v>
      </c>
      <c r="B27" s="83"/>
      <c r="C27" s="83"/>
      <c r="D27" s="83"/>
      <c r="E27" s="83"/>
      <c r="F27" s="83"/>
      <c r="G27" s="83"/>
      <c r="H27" s="83"/>
    </row>
    <row r="28" ht="93" customHeight="1" spans="1:8">
      <c r="A28" s="84" t="s">
        <v>58</v>
      </c>
      <c r="B28" s="84"/>
      <c r="C28" s="84"/>
      <c r="D28" s="84"/>
      <c r="E28" s="84"/>
      <c r="F28" s="84"/>
      <c r="G28" s="84"/>
      <c r="H28" s="84"/>
    </row>
    <row r="29" ht="51" customHeight="1" spans="1:8">
      <c r="A29" s="26" t="s">
        <v>59</v>
      </c>
      <c r="B29" s="26"/>
      <c r="C29" s="26"/>
      <c r="D29" s="26"/>
      <c r="E29" s="26"/>
      <c r="F29" s="26"/>
      <c r="G29" s="26"/>
      <c r="H29" s="26"/>
    </row>
  </sheetData>
  <mergeCells count="13">
    <mergeCell ref="A1:H1"/>
    <mergeCell ref="A2:C2"/>
    <mergeCell ref="F2:H2"/>
    <mergeCell ref="A3:C3"/>
    <mergeCell ref="F3:H3"/>
    <mergeCell ref="A4:C4"/>
    <mergeCell ref="A5:C5"/>
    <mergeCell ref="A6:H6"/>
    <mergeCell ref="A7:H7"/>
    <mergeCell ref="A26:F26"/>
    <mergeCell ref="A27:H27"/>
    <mergeCell ref="A28:H28"/>
    <mergeCell ref="A29:H29"/>
  </mergeCells>
  <pageMargins left="0.629861111111111" right="0.251388888888889" top="0.751388888888889" bottom="0.751388888888889" header="0.298611111111111" footer="0.298611111111111"/>
  <pageSetup paperSize="9" scale="84" orientation="portrait" horizontalDpi="600"/>
  <headerFooter/>
  <rowBreaks count="1" manualBreakCount="1">
    <brk id="22"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4"/>
  <sheetViews>
    <sheetView workbookViewId="0">
      <pane ySplit="3" topLeftCell="A4" activePane="bottomLeft" state="frozen"/>
      <selection/>
      <selection pane="bottomLeft" activeCell="B7" sqref="B7"/>
    </sheetView>
  </sheetViews>
  <sheetFormatPr defaultColWidth="9.33695652173913" defaultRowHeight="13.05"/>
  <cols>
    <col min="4" max="4" width="21.1630434782609" customWidth="1"/>
    <col min="5" max="5" width="48.8369565217391" customWidth="1"/>
    <col min="7" max="7" width="21.3369565217391" customWidth="1"/>
    <col min="9" max="9" width="11.3369565217391" style="36" customWidth="1"/>
    <col min="10" max="10" width="15.8369565217391" style="36" customWidth="1"/>
    <col min="11" max="11" width="12.8369565217391" style="36" customWidth="1"/>
    <col min="12" max="12" width="11.3369565217391" style="36" customWidth="1"/>
    <col min="13" max="13" width="12.8369565217391" style="36" customWidth="1"/>
    <col min="14" max="14" width="11.3369565217391" style="36" customWidth="1"/>
    <col min="15" max="16" width="15.8369565217391" style="36" customWidth="1"/>
  </cols>
  <sheetData>
    <row r="1" s="1" customFormat="1" ht="22.9" spans="2:16">
      <c r="B1" s="3" t="s">
        <v>60</v>
      </c>
      <c r="C1" s="4"/>
      <c r="D1" s="4"/>
      <c r="E1" s="4"/>
      <c r="F1" s="4"/>
      <c r="G1" s="5"/>
      <c r="H1" s="4"/>
      <c r="I1" s="41"/>
      <c r="J1" s="41"/>
      <c r="K1" s="41"/>
      <c r="L1" s="41"/>
      <c r="M1" s="41"/>
      <c r="N1" s="41"/>
      <c r="O1" s="41"/>
      <c r="P1" s="42"/>
    </row>
    <row r="2" s="1" customFormat="1" ht="17" spans="1:16">
      <c r="A2" s="6" t="s">
        <v>9</v>
      </c>
      <c r="B2" s="6" t="s">
        <v>61</v>
      </c>
      <c r="C2" s="7" t="s">
        <v>62</v>
      </c>
      <c r="D2" s="7" t="s">
        <v>63</v>
      </c>
      <c r="E2" s="8" t="s">
        <v>64</v>
      </c>
      <c r="F2" s="7" t="s">
        <v>65</v>
      </c>
      <c r="G2" s="7" t="s">
        <v>16</v>
      </c>
      <c r="H2" s="7" t="s">
        <v>12</v>
      </c>
      <c r="I2" s="43" t="s">
        <v>13</v>
      </c>
      <c r="J2" s="43" t="s">
        <v>66</v>
      </c>
      <c r="K2" s="43"/>
      <c r="L2" s="43"/>
      <c r="M2" s="43"/>
      <c r="N2" s="43"/>
      <c r="O2" s="43" t="s">
        <v>67</v>
      </c>
      <c r="P2" s="43" t="s">
        <v>68</v>
      </c>
    </row>
    <row r="3" s="1" customFormat="1" ht="34.05" spans="1:16">
      <c r="A3" s="6"/>
      <c r="B3" s="6"/>
      <c r="C3" s="7"/>
      <c r="D3" s="7"/>
      <c r="E3" s="8"/>
      <c r="F3" s="7"/>
      <c r="G3" s="7"/>
      <c r="H3" s="7"/>
      <c r="I3" s="43"/>
      <c r="J3" s="43" t="s">
        <v>69</v>
      </c>
      <c r="K3" s="43" t="s">
        <v>70</v>
      </c>
      <c r="L3" s="43" t="s">
        <v>71</v>
      </c>
      <c r="M3" s="43" t="s">
        <v>72</v>
      </c>
      <c r="N3" s="43" t="s">
        <v>73</v>
      </c>
      <c r="O3" s="43"/>
      <c r="P3" s="43"/>
    </row>
    <row r="4" s="1" customFormat="1" ht="17" spans="1:16">
      <c r="A4" s="6"/>
      <c r="B4" s="6"/>
      <c r="C4" s="7"/>
      <c r="D4" s="25" t="s">
        <v>74</v>
      </c>
      <c r="E4" s="8"/>
      <c r="F4" s="7"/>
      <c r="G4" s="7"/>
      <c r="H4" s="7"/>
      <c r="I4" s="44"/>
      <c r="J4" s="43"/>
      <c r="K4" s="43"/>
      <c r="L4" s="43"/>
      <c r="M4" s="43"/>
      <c r="N4" s="43"/>
      <c r="O4" s="43"/>
      <c r="P4" s="43"/>
    </row>
    <row r="5" s="2" customFormat="1" ht="91.65" spans="1:54">
      <c r="A5" s="9">
        <v>1</v>
      </c>
      <c r="B5" s="9"/>
      <c r="C5" s="10"/>
      <c r="D5" s="14" t="s">
        <v>75</v>
      </c>
      <c r="E5" s="33" t="s">
        <v>76</v>
      </c>
      <c r="F5" s="13"/>
      <c r="G5" s="12"/>
      <c r="H5" s="28" t="s">
        <v>77</v>
      </c>
      <c r="I5" s="44">
        <v>15.75</v>
      </c>
      <c r="J5" s="45">
        <v>298.26</v>
      </c>
      <c r="K5" s="45">
        <v>135.31</v>
      </c>
      <c r="L5" s="45">
        <v>8.19</v>
      </c>
      <c r="M5" s="45"/>
      <c r="N5" s="45">
        <v>39.92</v>
      </c>
      <c r="O5" s="45">
        <f>SUM(J5:N5)</f>
        <v>481.68</v>
      </c>
      <c r="P5" s="45">
        <f>O5*I5</f>
        <v>7586.46</v>
      </c>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2" customFormat="1" spans="1:54">
      <c r="A6" s="9"/>
      <c r="B6" s="9"/>
      <c r="C6" s="10"/>
      <c r="D6" s="25" t="s">
        <v>78</v>
      </c>
      <c r="E6" s="33"/>
      <c r="F6" s="13"/>
      <c r="G6" s="12"/>
      <c r="H6" s="37"/>
      <c r="I6" s="44"/>
      <c r="J6" s="45"/>
      <c r="K6" s="45"/>
      <c r="L6" s="45"/>
      <c r="M6" s="45"/>
      <c r="N6" s="45"/>
      <c r="O6" s="45"/>
      <c r="P6" s="45"/>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2" customFormat="1" ht="65.45" spans="1:54">
      <c r="A7" s="9">
        <v>2</v>
      </c>
      <c r="B7" s="9">
        <v>174</v>
      </c>
      <c r="C7" s="10"/>
      <c r="D7" s="14" t="s">
        <v>79</v>
      </c>
      <c r="E7" s="26" t="s">
        <v>80</v>
      </c>
      <c r="F7" s="13"/>
      <c r="G7" s="12"/>
      <c r="H7" s="28" t="s">
        <v>25</v>
      </c>
      <c r="I7" s="44">
        <v>272</v>
      </c>
      <c r="J7" s="21">
        <v>17.5</v>
      </c>
      <c r="K7" s="21">
        <v>7.08</v>
      </c>
      <c r="L7" s="21">
        <v>2.28</v>
      </c>
      <c r="M7" s="21">
        <v>0.18</v>
      </c>
      <c r="N7" s="21">
        <v>2.12</v>
      </c>
      <c r="O7" s="21">
        <f t="shared" ref="O7:O11" si="0">SUM(J7:N7)</f>
        <v>29.16</v>
      </c>
      <c r="P7" s="45">
        <f>O7*I7</f>
        <v>7931.52</v>
      </c>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2" customFormat="1" spans="1:54">
      <c r="A8" s="9"/>
      <c r="B8" s="9"/>
      <c r="C8" s="10"/>
      <c r="D8" s="25" t="s">
        <v>81</v>
      </c>
      <c r="E8" s="26"/>
      <c r="F8" s="13"/>
      <c r="G8" s="12"/>
      <c r="H8" s="37"/>
      <c r="I8" s="44"/>
      <c r="J8" s="45"/>
      <c r="K8" s="45"/>
      <c r="L8" s="45"/>
      <c r="M8" s="45"/>
      <c r="N8" s="45"/>
      <c r="O8" s="45"/>
      <c r="P8" s="45"/>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row>
    <row r="9" s="2" customFormat="1" ht="78.55" spans="1:54">
      <c r="A9" s="9">
        <v>5</v>
      </c>
      <c r="B9" s="9"/>
      <c r="C9" s="16"/>
      <c r="D9" s="14" t="s">
        <v>82</v>
      </c>
      <c r="E9" s="33" t="s">
        <v>83</v>
      </c>
      <c r="F9" s="16"/>
      <c r="G9" s="30"/>
      <c r="H9" s="28" t="s">
        <v>77</v>
      </c>
      <c r="I9" s="44">
        <f>979.2/39.65</f>
        <v>24.6960907944515</v>
      </c>
      <c r="J9" s="45">
        <v>634.17</v>
      </c>
      <c r="K9" s="45">
        <v>46.22</v>
      </c>
      <c r="L9" s="45">
        <v>13.17</v>
      </c>
      <c r="M9" s="45">
        <v>21.89</v>
      </c>
      <c r="N9" s="45">
        <v>24.49</v>
      </c>
      <c r="O9" s="45">
        <f t="shared" si="0"/>
        <v>739.94</v>
      </c>
      <c r="P9" s="45">
        <f>O9*I9</f>
        <v>18273.6254224464</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row>
    <row r="10" s="2" customFormat="1" ht="52.35" spans="1:54">
      <c r="A10" s="9">
        <v>6</v>
      </c>
      <c r="B10" s="9"/>
      <c r="C10" s="16"/>
      <c r="D10" s="38" t="s">
        <v>84</v>
      </c>
      <c r="E10" s="33" t="s">
        <v>85</v>
      </c>
      <c r="F10" s="16"/>
      <c r="G10" s="30"/>
      <c r="H10" s="28" t="s">
        <v>25</v>
      </c>
      <c r="I10" s="44">
        <f>321.6/39.65/0.2</f>
        <v>40.5548549810845</v>
      </c>
      <c r="J10" s="45">
        <v>126.73</v>
      </c>
      <c r="K10" s="45">
        <v>11.67</v>
      </c>
      <c r="L10" s="45">
        <v>0.45</v>
      </c>
      <c r="M10" s="45"/>
      <c r="N10" s="45">
        <v>3.49</v>
      </c>
      <c r="O10" s="21">
        <f t="shared" si="0"/>
        <v>142.34</v>
      </c>
      <c r="P10" s="45">
        <f>O10*I10</f>
        <v>5772.57805800757</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2" customFormat="1" ht="52.35" spans="1:54">
      <c r="A11" s="9">
        <v>7</v>
      </c>
      <c r="B11" s="9">
        <v>10</v>
      </c>
      <c r="C11" s="10"/>
      <c r="D11" s="17" t="s">
        <v>86</v>
      </c>
      <c r="E11" s="17" t="s">
        <v>87</v>
      </c>
      <c r="F11" s="16" t="s">
        <v>88</v>
      </c>
      <c r="G11" s="30"/>
      <c r="H11" s="16" t="s">
        <v>89</v>
      </c>
      <c r="I11" s="21">
        <v>1</v>
      </c>
      <c r="J11" s="21">
        <f>54.28/1.22/2.44*1.015</f>
        <v>18.5078607901102</v>
      </c>
      <c r="K11" s="21">
        <f>6.92*1.3</f>
        <v>8.996</v>
      </c>
      <c r="L11" s="21">
        <v>0.72</v>
      </c>
      <c r="M11" s="21">
        <v>0</v>
      </c>
      <c r="N11" s="21">
        <f>1.89*1.3</f>
        <v>2.457</v>
      </c>
      <c r="O11" s="21">
        <f t="shared" si="0"/>
        <v>30.6808607901102</v>
      </c>
      <c r="P11" s="45">
        <f>O11*I11</f>
        <v>30.6808607901102</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row>
    <row r="12" s="2" customFormat="1" spans="1:54">
      <c r="A12" s="9"/>
      <c r="B12" s="9"/>
      <c r="C12" s="10"/>
      <c r="D12" s="25" t="s">
        <v>90</v>
      </c>
      <c r="E12" s="26"/>
      <c r="F12" s="13"/>
      <c r="G12" s="12"/>
      <c r="H12" s="37"/>
      <c r="I12" s="46"/>
      <c r="J12" s="45"/>
      <c r="K12" s="45"/>
      <c r="L12" s="45"/>
      <c r="M12" s="45"/>
      <c r="N12" s="45"/>
      <c r="O12" s="45"/>
      <c r="P12" s="45"/>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row>
    <row r="13" s="2" customFormat="1" ht="52.35" spans="1:54">
      <c r="A13" s="9">
        <v>7</v>
      </c>
      <c r="B13" s="9">
        <v>170</v>
      </c>
      <c r="C13" s="10"/>
      <c r="D13" s="11" t="s">
        <v>91</v>
      </c>
      <c r="E13" s="12" t="s">
        <v>92</v>
      </c>
      <c r="F13" s="13"/>
      <c r="G13" s="12"/>
      <c r="H13" s="28" t="s">
        <v>77</v>
      </c>
      <c r="I13" s="44">
        <v>284.07</v>
      </c>
      <c r="J13" s="21">
        <v>7.04</v>
      </c>
      <c r="K13" s="21">
        <v>33.31</v>
      </c>
      <c r="L13" s="21">
        <v>0.05</v>
      </c>
      <c r="M13" s="21">
        <v>0.77</v>
      </c>
      <c r="N13" s="21">
        <v>9.3</v>
      </c>
      <c r="O13" s="21">
        <f>SUM(J13:N13)</f>
        <v>50.47</v>
      </c>
      <c r="P13" s="45">
        <f>O13*I13</f>
        <v>14337.0129</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row>
    <row r="14" s="2" customFormat="1" ht="52.35" spans="1:54">
      <c r="A14" s="9">
        <v>8</v>
      </c>
      <c r="B14" s="9">
        <v>2</v>
      </c>
      <c r="C14" s="10"/>
      <c r="D14" s="17" t="s">
        <v>93</v>
      </c>
      <c r="E14" s="17" t="s">
        <v>94</v>
      </c>
      <c r="F14" s="16" t="s">
        <v>88</v>
      </c>
      <c r="G14" s="30"/>
      <c r="H14" s="28" t="s">
        <v>77</v>
      </c>
      <c r="I14" s="44">
        <v>7.81</v>
      </c>
      <c r="J14" s="45">
        <f>54.28/1.22/2.44*1.015</f>
        <v>18.5078607901102</v>
      </c>
      <c r="K14" s="45">
        <v>4.37</v>
      </c>
      <c r="L14" s="45">
        <v>0</v>
      </c>
      <c r="M14" s="45">
        <v>0</v>
      </c>
      <c r="N14" s="45">
        <v>1.19</v>
      </c>
      <c r="O14" s="45">
        <f>SUM(J14:N14)</f>
        <v>24.0678607901102</v>
      </c>
      <c r="P14" s="45">
        <f>O14*I14</f>
        <v>187.969992770761</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2" customFormat="1" ht="39.25" spans="1:54">
      <c r="A15" s="9">
        <v>9</v>
      </c>
      <c r="B15" s="9">
        <v>406</v>
      </c>
      <c r="C15" s="16" t="s">
        <v>95</v>
      </c>
      <c r="D15" s="38" t="s">
        <v>96</v>
      </c>
      <c r="E15" s="17" t="s">
        <v>97</v>
      </c>
      <c r="F15" s="13"/>
      <c r="G15" s="12"/>
      <c r="H15" s="34" t="s">
        <v>98</v>
      </c>
      <c r="I15" s="34">
        <f>12*4.883/1000</f>
        <v>0.058596</v>
      </c>
      <c r="J15" s="21">
        <v>0</v>
      </c>
      <c r="K15" s="21">
        <v>175.25</v>
      </c>
      <c r="L15" s="21">
        <v>14.97</v>
      </c>
      <c r="M15" s="21">
        <v>311.42</v>
      </c>
      <c r="N15" s="21">
        <v>93.52</v>
      </c>
      <c r="O15" s="21">
        <f>SUM(J15:N15)</f>
        <v>595.16</v>
      </c>
      <c r="P15" s="21">
        <f>$N15*I15</f>
        <v>5.47989792</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2" customFormat="1" spans="1:54">
      <c r="A16" s="9"/>
      <c r="B16" s="9"/>
      <c r="C16" s="10"/>
      <c r="D16" s="25" t="s">
        <v>99</v>
      </c>
      <c r="E16" s="17"/>
      <c r="F16" s="13"/>
      <c r="G16" s="12"/>
      <c r="H16" s="34"/>
      <c r="I16" s="34"/>
      <c r="J16" s="45"/>
      <c r="K16" s="45"/>
      <c r="L16" s="45"/>
      <c r="M16" s="45"/>
      <c r="N16" s="45"/>
      <c r="O16" s="45"/>
      <c r="P16" s="45"/>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row>
    <row r="17" s="2" customFormat="1" ht="26.2" spans="1:54">
      <c r="A17" s="9"/>
      <c r="B17" s="9">
        <v>375</v>
      </c>
      <c r="C17" s="16" t="s">
        <v>95</v>
      </c>
      <c r="D17" s="39" t="s">
        <v>100</v>
      </c>
      <c r="E17" s="17" t="s">
        <v>101</v>
      </c>
      <c r="F17" s="16" t="s">
        <v>102</v>
      </c>
      <c r="G17" s="17"/>
      <c r="H17" s="16" t="s">
        <v>103</v>
      </c>
      <c r="I17" s="34">
        <v>1.94</v>
      </c>
      <c r="J17" s="21">
        <v>0</v>
      </c>
      <c r="K17" s="21">
        <v>311.74</v>
      </c>
      <c r="L17" s="21">
        <v>0</v>
      </c>
      <c r="M17" s="21">
        <v>204.7</v>
      </c>
      <c r="N17" s="21">
        <v>139.64</v>
      </c>
      <c r="O17" s="21">
        <f>SUM(J17:N17)</f>
        <v>656.08</v>
      </c>
      <c r="P17" s="45">
        <f>O17*I17</f>
        <v>1272.7952</v>
      </c>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row>
    <row r="18" s="2" customFormat="1" ht="52.35" spans="1:54">
      <c r="A18" s="9">
        <v>10</v>
      </c>
      <c r="B18" s="40">
        <v>149</v>
      </c>
      <c r="C18" s="10" t="s">
        <v>104</v>
      </c>
      <c r="D18" s="11" t="s">
        <v>105</v>
      </c>
      <c r="E18" s="12" t="s">
        <v>106</v>
      </c>
      <c r="F18" s="13" t="s">
        <v>107</v>
      </c>
      <c r="G18" s="12" t="s">
        <v>108</v>
      </c>
      <c r="H18" s="13" t="s">
        <v>89</v>
      </c>
      <c r="I18" s="34">
        <v>2.18</v>
      </c>
      <c r="J18" s="21">
        <v>56.12</v>
      </c>
      <c r="K18" s="21">
        <v>154.14</v>
      </c>
      <c r="L18" s="21">
        <v>13.07</v>
      </c>
      <c r="M18" s="21">
        <v>1.18</v>
      </c>
      <c r="N18" s="21">
        <v>35.2</v>
      </c>
      <c r="O18" s="21">
        <f>SUM(J18:N18)</f>
        <v>259.71</v>
      </c>
      <c r="P18" s="45">
        <f>O18*I18</f>
        <v>566.1678</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row>
    <row r="19" s="2" customFormat="1" spans="1:54">
      <c r="A19" s="9">
        <v>11</v>
      </c>
      <c r="B19" s="9"/>
      <c r="C19" s="10"/>
      <c r="D19" s="25" t="s">
        <v>109</v>
      </c>
      <c r="E19" s="26"/>
      <c r="F19" s="13"/>
      <c r="G19" s="12"/>
      <c r="H19" s="13"/>
      <c r="I19" s="45"/>
      <c r="J19" s="45"/>
      <c r="K19" s="45"/>
      <c r="L19" s="45"/>
      <c r="M19" s="45"/>
      <c r="N19" s="45"/>
      <c r="O19" s="45"/>
      <c r="P19" s="45"/>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row>
    <row r="20" s="2" customFormat="1" ht="65.45" spans="1:54">
      <c r="A20" s="9">
        <v>12</v>
      </c>
      <c r="B20" s="9"/>
      <c r="C20" s="10"/>
      <c r="D20" s="26" t="s">
        <v>109</v>
      </c>
      <c r="E20" s="26" t="s">
        <v>110</v>
      </c>
      <c r="F20" s="13"/>
      <c r="G20" s="12"/>
      <c r="H20" s="13" t="s">
        <v>89</v>
      </c>
      <c r="I20" s="45">
        <v>9.31</v>
      </c>
      <c r="J20" s="45">
        <v>121.52</v>
      </c>
      <c r="K20" s="45">
        <v>56.52</v>
      </c>
      <c r="L20" s="45">
        <v>1.09</v>
      </c>
      <c r="M20" s="45">
        <v>0</v>
      </c>
      <c r="N20" s="45">
        <v>15.55</v>
      </c>
      <c r="O20" s="45">
        <f>SUM(J20:N20)</f>
        <v>194.68</v>
      </c>
      <c r="P20" s="45">
        <f>O20*I20</f>
        <v>1812.4708</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row>
    <row r="21" s="2" customFormat="1" spans="1:54">
      <c r="A21" s="9">
        <v>13</v>
      </c>
      <c r="B21" s="9"/>
      <c r="C21" s="10"/>
      <c r="D21" s="26"/>
      <c r="E21" s="26"/>
      <c r="F21" s="13"/>
      <c r="G21" s="12"/>
      <c r="H21" s="13"/>
      <c r="I21" s="45"/>
      <c r="J21" s="45"/>
      <c r="K21" s="45"/>
      <c r="L21" s="45"/>
      <c r="M21" s="45"/>
      <c r="N21" s="45"/>
      <c r="O21" s="45"/>
      <c r="P21" s="45"/>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row>
    <row r="22" s="2" customFormat="1" spans="1:54">
      <c r="A22" s="9"/>
      <c r="B22" s="9"/>
      <c r="C22" s="10"/>
      <c r="D22" s="26"/>
      <c r="E22" s="26"/>
      <c r="F22" s="13"/>
      <c r="G22" s="12"/>
      <c r="H22" s="13"/>
      <c r="I22" s="45"/>
      <c r="J22" s="45"/>
      <c r="K22" s="45"/>
      <c r="L22" s="45"/>
      <c r="M22" s="45"/>
      <c r="N22" s="45"/>
      <c r="O22" s="45"/>
      <c r="P22" s="45"/>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row>
    <row r="23" s="1" customFormat="1" ht="13.1" spans="1:16">
      <c r="A23" s="9"/>
      <c r="B23" s="9"/>
      <c r="C23" s="15"/>
      <c r="D23" s="16" t="s">
        <v>111</v>
      </c>
      <c r="E23" s="17"/>
      <c r="F23" s="16"/>
      <c r="G23" s="17"/>
      <c r="H23" s="16"/>
      <c r="I23" s="45"/>
      <c r="J23" s="47"/>
      <c r="K23" s="45"/>
      <c r="L23" s="45"/>
      <c r="M23" s="45"/>
      <c r="N23" s="45"/>
      <c r="O23" s="45"/>
      <c r="P23" s="45">
        <f>SUM(P5:P11)*9%</f>
        <v>3563.53779071197</v>
      </c>
    </row>
    <row r="24" s="1" customFormat="1" ht="13.1" spans="1:16">
      <c r="A24" s="9"/>
      <c r="B24" s="9"/>
      <c r="C24" s="15"/>
      <c r="D24" s="16" t="s">
        <v>112</v>
      </c>
      <c r="E24" s="17"/>
      <c r="F24" s="16"/>
      <c r="G24" s="17"/>
      <c r="H24" s="16"/>
      <c r="I24" s="45"/>
      <c r="J24" s="47"/>
      <c r="K24" s="45"/>
      <c r="L24" s="45"/>
      <c r="M24" s="45"/>
      <c r="N24" s="45"/>
      <c r="O24" s="45"/>
      <c r="P24" s="45">
        <f>SUM(P5:P23)*98%</f>
        <v>60113.4927481939</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28"/>
  <sheetViews>
    <sheetView topLeftCell="A10" workbookViewId="0">
      <selection activeCell="O14" sqref="O14:O16"/>
    </sheetView>
  </sheetViews>
  <sheetFormatPr defaultColWidth="12" defaultRowHeight="13.05"/>
  <cols>
    <col min="1" max="3" width="12" style="1"/>
    <col min="4" max="4" width="21.5" style="1" customWidth="1"/>
    <col min="5" max="5" width="34.5" style="1" customWidth="1"/>
    <col min="6" max="8" width="12" style="1"/>
    <col min="9" max="9" width="12.5" style="1"/>
    <col min="10" max="10" width="16.8369565217391" style="1"/>
    <col min="11" max="12" width="15.6630434782609" style="1" customWidth="1"/>
    <col min="13" max="13" width="13.6630434782609" style="1" customWidth="1"/>
    <col min="14" max="14" width="12.8369565217391" style="1"/>
    <col min="15" max="15" width="15.5" style="1" customWidth="1"/>
    <col min="16" max="16" width="19.3369565217391" style="1" customWidth="1"/>
    <col min="17" max="17" width="17.3369565217391" style="1"/>
    <col min="18" max="18" width="13.8369565217391" style="1"/>
    <col min="19" max="19" width="16.8369565217391" style="1"/>
    <col min="20" max="16384" width="12" style="1"/>
  </cols>
  <sheetData>
    <row r="1" s="1" customFormat="1" ht="22.9" spans="2:16">
      <c r="B1" s="3" t="s">
        <v>113</v>
      </c>
      <c r="C1" s="4"/>
      <c r="D1" s="4"/>
      <c r="E1" s="4"/>
      <c r="F1" s="4"/>
      <c r="G1" s="5"/>
      <c r="H1" s="4"/>
      <c r="I1" s="18"/>
      <c r="J1" s="18"/>
      <c r="K1" s="18"/>
      <c r="L1" s="18"/>
      <c r="M1" s="18"/>
      <c r="N1" s="18"/>
      <c r="O1" s="18"/>
      <c r="P1" s="19"/>
    </row>
    <row r="2" s="1" customFormat="1" ht="17" spans="1:16">
      <c r="A2" s="6" t="s">
        <v>9</v>
      </c>
      <c r="B2" s="6" t="s">
        <v>61</v>
      </c>
      <c r="C2" s="7" t="s">
        <v>62</v>
      </c>
      <c r="D2" s="7" t="s">
        <v>63</v>
      </c>
      <c r="E2" s="8" t="s">
        <v>64</v>
      </c>
      <c r="F2" s="7" t="s">
        <v>65</v>
      </c>
      <c r="G2" s="7" t="s">
        <v>16</v>
      </c>
      <c r="H2" s="7" t="s">
        <v>12</v>
      </c>
      <c r="I2" s="20" t="s">
        <v>13</v>
      </c>
      <c r="J2" s="20" t="s">
        <v>66</v>
      </c>
      <c r="K2" s="20"/>
      <c r="L2" s="20"/>
      <c r="M2" s="20"/>
      <c r="N2" s="20"/>
      <c r="O2" s="20" t="s">
        <v>67</v>
      </c>
      <c r="P2" s="20" t="s">
        <v>68</v>
      </c>
    </row>
    <row r="3" s="1" customFormat="1" ht="34.05" spans="1:16">
      <c r="A3" s="6"/>
      <c r="B3" s="6"/>
      <c r="C3" s="7"/>
      <c r="D3" s="7"/>
      <c r="E3" s="8"/>
      <c r="F3" s="7"/>
      <c r="G3" s="7"/>
      <c r="H3" s="7"/>
      <c r="I3" s="20"/>
      <c r="J3" s="20" t="s">
        <v>69</v>
      </c>
      <c r="K3" s="20" t="s">
        <v>70</v>
      </c>
      <c r="L3" s="20" t="s">
        <v>71</v>
      </c>
      <c r="M3" s="20" t="s">
        <v>72</v>
      </c>
      <c r="N3" s="20" t="s">
        <v>73</v>
      </c>
      <c r="O3" s="20"/>
      <c r="P3" s="20"/>
    </row>
    <row r="4" s="1" customFormat="1" ht="17" spans="1:17">
      <c r="A4" s="6"/>
      <c r="B4" s="25" t="s">
        <v>114</v>
      </c>
      <c r="C4" s="7"/>
      <c r="D4" s="7"/>
      <c r="E4" s="8"/>
      <c r="F4" s="7"/>
      <c r="G4" s="7"/>
      <c r="H4" s="7"/>
      <c r="I4" s="20"/>
      <c r="J4" s="20"/>
      <c r="K4" s="20"/>
      <c r="L4" s="20"/>
      <c r="M4" s="20"/>
      <c r="N4" s="20"/>
      <c r="O4" s="20"/>
      <c r="P4" s="20"/>
      <c r="Q4" s="1" t="s">
        <v>70</v>
      </c>
    </row>
    <row r="5" s="24" customFormat="1" ht="42" customHeight="1" spans="1:54">
      <c r="A5" s="9">
        <v>1</v>
      </c>
      <c r="B5" s="16"/>
      <c r="C5" s="16"/>
      <c r="D5" s="26" t="s">
        <v>115</v>
      </c>
      <c r="E5" s="26" t="s">
        <v>115</v>
      </c>
      <c r="F5" s="27"/>
      <c r="G5" s="26"/>
      <c r="H5" s="28" t="s">
        <v>29</v>
      </c>
      <c r="I5" s="21">
        <v>1</v>
      </c>
      <c r="J5" s="21"/>
      <c r="K5" s="21">
        <v>113.45</v>
      </c>
      <c r="L5" s="21">
        <v>19.56</v>
      </c>
      <c r="M5" s="21">
        <v>0.24</v>
      </c>
      <c r="N5" s="21">
        <v>36.42</v>
      </c>
      <c r="O5" s="21">
        <f t="shared" ref="O5:O11" si="0">SUM(J5:N5)</f>
        <v>169.67</v>
      </c>
      <c r="P5" s="21">
        <f>O5*I5</f>
        <v>169.67</v>
      </c>
      <c r="Q5" s="35">
        <f>I5*K5</f>
        <v>113.45</v>
      </c>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row>
    <row r="6" s="24" customFormat="1" ht="42" customHeight="1" spans="1:54">
      <c r="A6" s="9">
        <v>2</v>
      </c>
      <c r="B6" s="9"/>
      <c r="C6" s="16"/>
      <c r="D6" s="26" t="s">
        <v>116</v>
      </c>
      <c r="E6" s="26"/>
      <c r="F6" s="16"/>
      <c r="G6" s="17"/>
      <c r="H6" s="28" t="s">
        <v>29</v>
      </c>
      <c r="I6" s="21">
        <v>1</v>
      </c>
      <c r="J6" s="21">
        <v>760</v>
      </c>
      <c r="K6" s="21">
        <v>344.87</v>
      </c>
      <c r="L6" s="21">
        <v>3.03</v>
      </c>
      <c r="M6" s="21">
        <v>0</v>
      </c>
      <c r="N6" s="21">
        <v>124.53</v>
      </c>
      <c r="O6" s="21">
        <f t="shared" si="0"/>
        <v>1232.43</v>
      </c>
      <c r="P6" s="21">
        <f t="shared" ref="P6:P11" si="1">O6*I6</f>
        <v>1232.43</v>
      </c>
      <c r="Q6" s="35">
        <f t="shared" ref="Q6:Q26" si="2">I6*K6</f>
        <v>344.87</v>
      </c>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row>
    <row r="7" s="24" customFormat="1" ht="42" customHeight="1" spans="1:54">
      <c r="A7" s="9">
        <v>3</v>
      </c>
      <c r="B7" s="9">
        <v>306</v>
      </c>
      <c r="C7" s="16" t="s">
        <v>117</v>
      </c>
      <c r="D7" s="26" t="s">
        <v>118</v>
      </c>
      <c r="E7" s="26" t="s">
        <v>119</v>
      </c>
      <c r="F7" s="16" t="s">
        <v>88</v>
      </c>
      <c r="G7" s="17"/>
      <c r="H7" s="28" t="s">
        <v>25</v>
      </c>
      <c r="I7" s="21">
        <v>30</v>
      </c>
      <c r="J7" s="21">
        <v>2.53</v>
      </c>
      <c r="K7" s="21">
        <f>8.96*1.25</f>
        <v>11.2</v>
      </c>
      <c r="L7" s="21">
        <v>0.17</v>
      </c>
      <c r="M7" s="21">
        <v>0</v>
      </c>
      <c r="N7" s="21">
        <v>3</v>
      </c>
      <c r="O7" s="21">
        <f t="shared" si="0"/>
        <v>16.9</v>
      </c>
      <c r="P7" s="21">
        <f t="shared" si="1"/>
        <v>507</v>
      </c>
      <c r="Q7" s="35">
        <f t="shared" si="2"/>
        <v>336</v>
      </c>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row>
    <row r="8" s="24" customFormat="1" ht="42" customHeight="1" spans="1:54">
      <c r="A8" s="9">
        <v>4</v>
      </c>
      <c r="B8" s="9">
        <v>318</v>
      </c>
      <c r="C8" s="16" t="s">
        <v>117</v>
      </c>
      <c r="D8" s="26" t="s">
        <v>120</v>
      </c>
      <c r="E8" s="26" t="s">
        <v>121</v>
      </c>
      <c r="F8" s="16" t="s">
        <v>88</v>
      </c>
      <c r="G8" s="17" t="s">
        <v>122</v>
      </c>
      <c r="H8" s="28" t="s">
        <v>25</v>
      </c>
      <c r="I8" s="21">
        <v>30</v>
      </c>
      <c r="J8" s="21">
        <f>2.04*1.1</f>
        <v>2.244</v>
      </c>
      <c r="K8" s="21">
        <f>1.11*1.25</f>
        <v>1.3875</v>
      </c>
      <c r="L8" s="21">
        <v>0.15</v>
      </c>
      <c r="M8" s="21">
        <v>0</v>
      </c>
      <c r="N8" s="21">
        <v>0.37</v>
      </c>
      <c r="O8" s="21">
        <f t="shared" si="0"/>
        <v>4.1515</v>
      </c>
      <c r="P8" s="21">
        <f t="shared" si="1"/>
        <v>124.545</v>
      </c>
      <c r="Q8" s="35">
        <f t="shared" si="2"/>
        <v>41.625</v>
      </c>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row>
    <row r="9" s="24" customFormat="1" ht="42" customHeight="1" spans="1:54">
      <c r="A9" s="9">
        <v>5</v>
      </c>
      <c r="B9" s="9">
        <v>329</v>
      </c>
      <c r="C9" s="16" t="s">
        <v>117</v>
      </c>
      <c r="D9" s="26" t="s">
        <v>123</v>
      </c>
      <c r="E9" s="26"/>
      <c r="F9" s="16" t="s">
        <v>88</v>
      </c>
      <c r="G9" s="17"/>
      <c r="H9" s="28" t="s">
        <v>29</v>
      </c>
      <c r="I9" s="21">
        <v>1</v>
      </c>
      <c r="J9" s="21">
        <v>45.02</v>
      </c>
      <c r="K9" s="21">
        <v>10.9</v>
      </c>
      <c r="L9" s="21">
        <v>1.02</v>
      </c>
      <c r="M9" s="21">
        <v>0</v>
      </c>
      <c r="N9" s="21">
        <v>3.65</v>
      </c>
      <c r="O9" s="21">
        <f t="shared" si="0"/>
        <v>60.59</v>
      </c>
      <c r="P9" s="21">
        <f t="shared" si="1"/>
        <v>60.59</v>
      </c>
      <c r="Q9" s="35">
        <f t="shared" si="2"/>
        <v>10.9</v>
      </c>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row>
    <row r="10" s="24" customFormat="1" ht="52.35" spans="1:54">
      <c r="A10" s="9">
        <v>6</v>
      </c>
      <c r="B10" s="29">
        <v>2</v>
      </c>
      <c r="C10" s="16" t="s">
        <v>124</v>
      </c>
      <c r="D10" s="17" t="s">
        <v>93</v>
      </c>
      <c r="E10" s="17" t="s">
        <v>125</v>
      </c>
      <c r="F10" s="16" t="s">
        <v>88</v>
      </c>
      <c r="G10" s="30"/>
      <c r="H10" s="16" t="s">
        <v>89</v>
      </c>
      <c r="I10" s="21">
        <v>1</v>
      </c>
      <c r="J10" s="21">
        <v>2.76</v>
      </c>
      <c r="K10" s="21">
        <v>4.37</v>
      </c>
      <c r="L10" s="21">
        <v>0</v>
      </c>
      <c r="M10" s="21">
        <v>0</v>
      </c>
      <c r="N10" s="21">
        <v>1.19</v>
      </c>
      <c r="O10" s="21">
        <f t="shared" si="0"/>
        <v>8.32</v>
      </c>
      <c r="P10" s="21">
        <f t="shared" si="1"/>
        <v>8.32</v>
      </c>
      <c r="Q10" s="35">
        <f t="shared" si="2"/>
        <v>4.37</v>
      </c>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row>
    <row r="11" s="24" customFormat="1" ht="26.2" spans="1:54">
      <c r="A11" s="9">
        <v>7</v>
      </c>
      <c r="B11" s="29">
        <v>26</v>
      </c>
      <c r="C11" s="16" t="s">
        <v>126</v>
      </c>
      <c r="D11" s="17" t="s">
        <v>127</v>
      </c>
      <c r="E11" s="17" t="s">
        <v>128</v>
      </c>
      <c r="F11" s="16" t="s">
        <v>88</v>
      </c>
      <c r="G11" s="17"/>
      <c r="H11" s="16" t="s">
        <v>89</v>
      </c>
      <c r="I11" s="21">
        <v>1</v>
      </c>
      <c r="J11" s="21">
        <v>9.21294</v>
      </c>
      <c r="K11" s="21">
        <v>13.81941</v>
      </c>
      <c r="L11" s="21">
        <v>2.763882</v>
      </c>
      <c r="M11" s="21">
        <v>3.224529</v>
      </c>
      <c r="N11" s="21">
        <v>3.0402702</v>
      </c>
      <c r="O11" s="21">
        <f t="shared" si="0"/>
        <v>32.0610312</v>
      </c>
      <c r="P11" s="21">
        <f t="shared" si="1"/>
        <v>32.0610312</v>
      </c>
      <c r="Q11" s="35">
        <f t="shared" si="2"/>
        <v>13.81941</v>
      </c>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row>
    <row r="12" s="24" customFormat="1" ht="25" customHeight="1" spans="1:54">
      <c r="A12" s="9"/>
      <c r="B12" s="25" t="s">
        <v>129</v>
      </c>
      <c r="C12" s="16"/>
      <c r="D12" s="26"/>
      <c r="E12" s="26"/>
      <c r="F12" s="16"/>
      <c r="G12" s="17"/>
      <c r="H12" s="28"/>
      <c r="I12" s="21"/>
      <c r="J12" s="21"/>
      <c r="K12" s="21"/>
      <c r="L12" s="21"/>
      <c r="M12" s="21"/>
      <c r="N12" s="21"/>
      <c r="O12" s="21"/>
      <c r="P12" s="21"/>
      <c r="Q12" s="35">
        <f t="shared" si="2"/>
        <v>0</v>
      </c>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row>
    <row r="13" s="24" customFormat="1" ht="42" customHeight="1" spans="1:54">
      <c r="A13" s="9">
        <v>8</v>
      </c>
      <c r="B13" s="16">
        <v>241</v>
      </c>
      <c r="C13" s="16" t="s">
        <v>130</v>
      </c>
      <c r="D13" s="17" t="s">
        <v>131</v>
      </c>
      <c r="E13" s="17" t="s">
        <v>132</v>
      </c>
      <c r="F13" s="16" t="s">
        <v>88</v>
      </c>
      <c r="G13" s="31"/>
      <c r="H13" s="16" t="s">
        <v>25</v>
      </c>
      <c r="I13" s="21">
        <f>0.94*4+1.05*4+1*4</f>
        <v>11.96</v>
      </c>
      <c r="J13" s="21">
        <v>27.63882</v>
      </c>
      <c r="K13" s="21">
        <v>27.63882</v>
      </c>
      <c r="L13" s="21">
        <v>5.527764</v>
      </c>
      <c r="M13" s="21">
        <v>5.527764</v>
      </c>
      <c r="N13" s="21">
        <v>7.370352</v>
      </c>
      <c r="O13" s="21">
        <f>SUM(J13:N13)</f>
        <v>73.70352</v>
      </c>
      <c r="P13" s="21">
        <f>$N13*I13</f>
        <v>88.14940992</v>
      </c>
      <c r="Q13" s="35">
        <f t="shared" si="2"/>
        <v>330.5602872</v>
      </c>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row>
    <row r="14" s="24" customFormat="1" ht="42" customHeight="1" spans="1:54">
      <c r="A14" s="9">
        <v>9</v>
      </c>
      <c r="B14" s="9">
        <v>239</v>
      </c>
      <c r="C14" s="16" t="s">
        <v>130</v>
      </c>
      <c r="D14" s="26" t="s">
        <v>129</v>
      </c>
      <c r="E14" s="26" t="s">
        <v>133</v>
      </c>
      <c r="F14" s="16" t="s">
        <v>134</v>
      </c>
      <c r="G14" s="17" t="s">
        <v>135</v>
      </c>
      <c r="H14" s="28" t="s">
        <v>136</v>
      </c>
      <c r="I14" s="21">
        <v>1</v>
      </c>
      <c r="J14" s="21">
        <v>1228.185</v>
      </c>
      <c r="K14" s="21">
        <v>225.71703</v>
      </c>
      <c r="L14" s="21">
        <v>32.24529</v>
      </c>
      <c r="M14" s="21">
        <v>32.24529</v>
      </c>
      <c r="N14" s="21">
        <v>32.24529</v>
      </c>
      <c r="O14" s="21">
        <f>SUM(J14:N14)</f>
        <v>1550.6379</v>
      </c>
      <c r="P14" s="21">
        <f t="shared" ref="P14:P19" si="3">O14*I14</f>
        <v>1550.6379</v>
      </c>
      <c r="Q14" s="35">
        <f t="shared" si="2"/>
        <v>225.71703</v>
      </c>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row>
    <row r="15" s="24" customFormat="1" ht="42" customHeight="1" spans="1:54">
      <c r="A15" s="9">
        <v>10</v>
      </c>
      <c r="B15" s="9">
        <v>239</v>
      </c>
      <c r="C15" s="16" t="s">
        <v>130</v>
      </c>
      <c r="D15" s="26" t="s">
        <v>129</v>
      </c>
      <c r="E15" s="26" t="s">
        <v>137</v>
      </c>
      <c r="F15" s="16" t="s">
        <v>134</v>
      </c>
      <c r="G15" s="17" t="s">
        <v>135</v>
      </c>
      <c r="H15" s="28" t="s">
        <v>136</v>
      </c>
      <c r="I15" s="21">
        <v>1</v>
      </c>
      <c r="J15" s="21">
        <v>1428</v>
      </c>
      <c r="K15" s="21">
        <v>225.71703</v>
      </c>
      <c r="L15" s="21">
        <v>32.24529</v>
      </c>
      <c r="M15" s="21">
        <v>32.24529</v>
      </c>
      <c r="N15" s="21">
        <v>32.24529</v>
      </c>
      <c r="O15" s="21">
        <f>SUM(J15:N15)</f>
        <v>1750.4529</v>
      </c>
      <c r="P15" s="21">
        <f t="shared" si="3"/>
        <v>1750.4529</v>
      </c>
      <c r="Q15" s="35">
        <f t="shared" si="2"/>
        <v>225.71703</v>
      </c>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row>
    <row r="16" s="24" customFormat="1" ht="42" customHeight="1" spans="1:54">
      <c r="A16" s="9">
        <v>11</v>
      </c>
      <c r="B16" s="9">
        <v>239</v>
      </c>
      <c r="C16" s="16" t="s">
        <v>130</v>
      </c>
      <c r="D16" s="26" t="s">
        <v>129</v>
      </c>
      <c r="E16" s="26" t="s">
        <v>138</v>
      </c>
      <c r="F16" s="16" t="s">
        <v>134</v>
      </c>
      <c r="G16" s="17" t="s">
        <v>135</v>
      </c>
      <c r="H16" s="28" t="s">
        <v>136</v>
      </c>
      <c r="I16" s="21">
        <v>1</v>
      </c>
      <c r="J16" s="21">
        <v>1409.90625</v>
      </c>
      <c r="K16" s="21">
        <v>225.71703</v>
      </c>
      <c r="L16" s="21">
        <v>32.24529</v>
      </c>
      <c r="M16" s="21">
        <v>32.24529</v>
      </c>
      <c r="N16" s="21">
        <v>32.24529</v>
      </c>
      <c r="O16" s="21">
        <f>SUM(J16:N16)</f>
        <v>1732.35915</v>
      </c>
      <c r="P16" s="21">
        <f t="shared" si="3"/>
        <v>1732.35915</v>
      </c>
      <c r="Q16" s="35">
        <f t="shared" si="2"/>
        <v>225.71703</v>
      </c>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row>
    <row r="17" s="24" customFormat="1" ht="42" customHeight="1" spans="1:54">
      <c r="A17" s="9">
        <v>12</v>
      </c>
      <c r="B17" s="9">
        <v>150</v>
      </c>
      <c r="C17" s="10" t="s">
        <v>104</v>
      </c>
      <c r="D17" s="11" t="s">
        <v>139</v>
      </c>
      <c r="E17" s="12" t="s">
        <v>106</v>
      </c>
      <c r="F17" s="13" t="s">
        <v>140</v>
      </c>
      <c r="G17" s="12" t="s">
        <v>141</v>
      </c>
      <c r="H17" s="13" t="s">
        <v>89</v>
      </c>
      <c r="I17" s="34">
        <f>ROUND(1.04*1.04+1.15*1.15,2)</f>
        <v>2.4</v>
      </c>
      <c r="J17" s="21"/>
      <c r="K17" s="21">
        <v>169.62</v>
      </c>
      <c r="L17" s="21">
        <v>20.6</v>
      </c>
      <c r="M17" s="21">
        <v>8.77</v>
      </c>
      <c r="N17" s="21">
        <v>39.99</v>
      </c>
      <c r="O17" s="21">
        <f t="shared" ref="O14:O19" si="4">SUM(J17:N17)</f>
        <v>238.98</v>
      </c>
      <c r="P17" s="21">
        <f t="shared" si="3"/>
        <v>573.552</v>
      </c>
      <c r="Q17" s="35">
        <f t="shared" si="2"/>
        <v>407.088</v>
      </c>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row>
    <row r="18" s="24" customFormat="1" ht="42" customHeight="1" spans="1:54">
      <c r="A18" s="9">
        <v>13</v>
      </c>
      <c r="B18" s="9">
        <v>150</v>
      </c>
      <c r="C18" s="10" t="s">
        <v>104</v>
      </c>
      <c r="D18" s="11" t="s">
        <v>139</v>
      </c>
      <c r="E18" s="12" t="s">
        <v>106</v>
      </c>
      <c r="F18" s="13" t="s">
        <v>134</v>
      </c>
      <c r="G18" s="12" t="s">
        <v>142</v>
      </c>
      <c r="H18" s="13" t="s">
        <v>89</v>
      </c>
      <c r="I18" s="34">
        <f>1.1*1.1</f>
        <v>1.21</v>
      </c>
      <c r="J18" s="21">
        <v>47.22</v>
      </c>
      <c r="K18" s="21">
        <v>169.62</v>
      </c>
      <c r="L18" s="21">
        <v>20.6</v>
      </c>
      <c r="M18" s="21">
        <v>8.77</v>
      </c>
      <c r="N18" s="21">
        <v>39.99</v>
      </c>
      <c r="O18" s="21">
        <f t="shared" si="4"/>
        <v>286.2</v>
      </c>
      <c r="P18" s="21">
        <f t="shared" si="3"/>
        <v>346.302</v>
      </c>
      <c r="Q18" s="35">
        <f t="shared" si="2"/>
        <v>205.2402</v>
      </c>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row>
    <row r="19" s="24" customFormat="1" ht="42" customHeight="1" spans="1:54">
      <c r="A19" s="9">
        <v>14</v>
      </c>
      <c r="B19" s="29">
        <v>17</v>
      </c>
      <c r="C19" s="16" t="s">
        <v>126</v>
      </c>
      <c r="D19" s="17" t="s">
        <v>143</v>
      </c>
      <c r="E19" s="17" t="s">
        <v>144</v>
      </c>
      <c r="F19" s="16" t="s">
        <v>88</v>
      </c>
      <c r="G19" s="17"/>
      <c r="H19" s="16" t="s">
        <v>25</v>
      </c>
      <c r="I19" s="21">
        <v>18</v>
      </c>
      <c r="J19" s="21">
        <v>0</v>
      </c>
      <c r="K19" s="21">
        <v>8.33</v>
      </c>
      <c r="L19" s="21"/>
      <c r="M19" s="21"/>
      <c r="N19" s="21">
        <f>K19*0.2</f>
        <v>1.666</v>
      </c>
      <c r="O19" s="21">
        <f t="shared" si="4"/>
        <v>9.996</v>
      </c>
      <c r="P19" s="21">
        <f t="shared" si="3"/>
        <v>179.928</v>
      </c>
      <c r="Q19" s="35">
        <f t="shared" si="2"/>
        <v>149.94</v>
      </c>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row>
    <row r="20" s="24" customFormat="1" ht="24" customHeight="1" spans="1:54">
      <c r="A20" s="9"/>
      <c r="B20" s="25" t="s">
        <v>145</v>
      </c>
      <c r="C20" s="10"/>
      <c r="D20" s="11"/>
      <c r="E20" s="12"/>
      <c r="F20" s="13"/>
      <c r="G20" s="12"/>
      <c r="H20" s="13"/>
      <c r="I20" s="21"/>
      <c r="J20" s="21"/>
      <c r="K20" s="21"/>
      <c r="L20" s="21"/>
      <c r="M20" s="21"/>
      <c r="N20" s="21"/>
      <c r="O20" s="21"/>
      <c r="P20" s="21"/>
      <c r="Q20" s="35">
        <f t="shared" si="2"/>
        <v>0</v>
      </c>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row>
    <row r="21" s="24" customFormat="1" ht="42" customHeight="1" spans="1:54">
      <c r="A21" s="9">
        <v>15</v>
      </c>
      <c r="B21" s="9">
        <v>150</v>
      </c>
      <c r="C21" s="16" t="s">
        <v>104</v>
      </c>
      <c r="D21" s="26" t="s">
        <v>139</v>
      </c>
      <c r="E21" s="26" t="s">
        <v>106</v>
      </c>
      <c r="F21" s="16" t="s">
        <v>134</v>
      </c>
      <c r="G21" s="17" t="s">
        <v>142</v>
      </c>
      <c r="H21" s="28" t="s">
        <v>89</v>
      </c>
      <c r="I21" s="21">
        <v>8</v>
      </c>
      <c r="J21" s="21">
        <v>47.22</v>
      </c>
      <c r="K21" s="21">
        <v>169.62</v>
      </c>
      <c r="L21" s="21">
        <v>20.6</v>
      </c>
      <c r="M21" s="21">
        <v>8.77</v>
      </c>
      <c r="N21" s="21">
        <v>39.99</v>
      </c>
      <c r="O21" s="21">
        <f>SUM(J21:N21)</f>
        <v>286.2</v>
      </c>
      <c r="P21" s="21">
        <f>O21*I21</f>
        <v>2289.6</v>
      </c>
      <c r="Q21" s="35">
        <f t="shared" si="2"/>
        <v>1356.96</v>
      </c>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row>
    <row r="22" s="24" customFormat="1" ht="42" customHeight="1" spans="1:54">
      <c r="A22" s="9">
        <v>16</v>
      </c>
      <c r="B22" s="9">
        <v>236</v>
      </c>
      <c r="C22" s="16" t="s">
        <v>130</v>
      </c>
      <c r="D22" s="26" t="s">
        <v>146</v>
      </c>
      <c r="E22" s="26" t="s">
        <v>147</v>
      </c>
      <c r="F22" s="16" t="s">
        <v>88</v>
      </c>
      <c r="G22" s="17"/>
      <c r="H22" s="28" t="s">
        <v>25</v>
      </c>
      <c r="I22" s="21">
        <v>15</v>
      </c>
      <c r="J22" s="21">
        <v>0</v>
      </c>
      <c r="K22" s="21">
        <v>28.75</v>
      </c>
      <c r="L22" s="21">
        <v>1.43</v>
      </c>
      <c r="M22" s="21">
        <v>3.05</v>
      </c>
      <c r="N22" s="21">
        <v>6.49</v>
      </c>
      <c r="O22" s="21">
        <f>SUM(J22:N22)</f>
        <v>39.72</v>
      </c>
      <c r="P22" s="21">
        <f>O22*I22</f>
        <v>595.8</v>
      </c>
      <c r="Q22" s="35">
        <f t="shared" si="2"/>
        <v>431.25</v>
      </c>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row>
    <row r="23" s="24" customFormat="1" ht="42" customHeight="1" spans="1:54">
      <c r="A23" s="9">
        <v>17</v>
      </c>
      <c r="B23" s="9">
        <v>264</v>
      </c>
      <c r="C23" s="16" t="s">
        <v>148</v>
      </c>
      <c r="D23" s="26" t="s">
        <v>149</v>
      </c>
      <c r="E23" s="26" t="s">
        <v>150</v>
      </c>
      <c r="F23" s="16" t="s">
        <v>102</v>
      </c>
      <c r="G23" s="17"/>
      <c r="H23" s="28" t="s">
        <v>25</v>
      </c>
      <c r="I23" s="21">
        <v>3</v>
      </c>
      <c r="J23" s="21">
        <v>0</v>
      </c>
      <c r="K23" s="21">
        <v>6.73</v>
      </c>
      <c r="L23" s="21">
        <v>0.5</v>
      </c>
      <c r="M23" s="21">
        <v>0</v>
      </c>
      <c r="N23" s="21">
        <v>2.32</v>
      </c>
      <c r="O23" s="21">
        <f>SUM(J23:N23)</f>
        <v>9.55</v>
      </c>
      <c r="P23" s="21">
        <f>O23*I23</f>
        <v>28.65</v>
      </c>
      <c r="Q23" s="35">
        <f t="shared" si="2"/>
        <v>20.19</v>
      </c>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row>
    <row r="24" s="24" customFormat="1" ht="42" customHeight="1" spans="1:54">
      <c r="A24" s="9">
        <v>18</v>
      </c>
      <c r="B24" s="9">
        <v>270</v>
      </c>
      <c r="C24" s="16" t="s">
        <v>148</v>
      </c>
      <c r="D24" s="26" t="s">
        <v>151</v>
      </c>
      <c r="E24" s="26" t="s">
        <v>152</v>
      </c>
      <c r="F24" s="16" t="s">
        <v>88</v>
      </c>
      <c r="G24" s="17"/>
      <c r="H24" s="28" t="s">
        <v>25</v>
      </c>
      <c r="I24" s="21">
        <v>3</v>
      </c>
      <c r="J24" s="21">
        <f>11.94*1.04</f>
        <v>12.4176</v>
      </c>
      <c r="K24" s="21">
        <v>14.02</v>
      </c>
      <c r="L24" s="21">
        <v>0.13</v>
      </c>
      <c r="M24" s="21">
        <v>0.01</v>
      </c>
      <c r="N24" s="21">
        <v>4.6</v>
      </c>
      <c r="O24" s="21">
        <f>SUM(J24:N24)</f>
        <v>31.1776</v>
      </c>
      <c r="P24" s="21">
        <f>O24*I24</f>
        <v>93.5328</v>
      </c>
      <c r="Q24" s="35">
        <f t="shared" si="2"/>
        <v>42.06</v>
      </c>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row>
    <row r="25" s="24" customFormat="1" ht="42" customHeight="1" spans="1:54">
      <c r="A25" s="9"/>
      <c r="B25" s="32" t="s">
        <v>153</v>
      </c>
      <c r="C25" s="16"/>
      <c r="D25" s="26"/>
      <c r="E25" s="26"/>
      <c r="F25" s="16"/>
      <c r="G25" s="17"/>
      <c r="H25" s="28"/>
      <c r="I25" s="21"/>
      <c r="J25" s="21"/>
      <c r="K25" s="21"/>
      <c r="L25" s="21"/>
      <c r="M25" s="21"/>
      <c r="N25" s="21"/>
      <c r="O25" s="21"/>
      <c r="P25" s="21"/>
      <c r="Q25" s="35">
        <f t="shared" si="2"/>
        <v>0</v>
      </c>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row>
    <row r="26" s="24" customFormat="1" ht="78.55" spans="1:54">
      <c r="A26" s="9">
        <v>19</v>
      </c>
      <c r="B26" s="9"/>
      <c r="C26" s="16"/>
      <c r="D26" s="14" t="s">
        <v>154</v>
      </c>
      <c r="E26" s="33" t="s">
        <v>155</v>
      </c>
      <c r="F26" s="16" t="s">
        <v>88</v>
      </c>
      <c r="G26" s="17"/>
      <c r="H26" s="28" t="s">
        <v>25</v>
      </c>
      <c r="I26" s="21">
        <v>3</v>
      </c>
      <c r="J26" s="21">
        <v>10.34</v>
      </c>
      <c r="K26" s="21">
        <v>19.41</v>
      </c>
      <c r="L26" s="21">
        <v>38.25</v>
      </c>
      <c r="M26" s="21">
        <v>0.39</v>
      </c>
      <c r="N26" s="21">
        <v>3.06</v>
      </c>
      <c r="O26" s="21">
        <f>SUM(J26:N26)</f>
        <v>71.45</v>
      </c>
      <c r="P26" s="21">
        <f>O26*I26</f>
        <v>214.35</v>
      </c>
      <c r="Q26" s="35">
        <f t="shared" si="2"/>
        <v>58.23</v>
      </c>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row>
    <row r="27" s="1" customFormat="1" ht="30" customHeight="1" spans="1:17">
      <c r="A27" s="9"/>
      <c r="B27" s="9"/>
      <c r="C27" s="15"/>
      <c r="D27" s="16" t="s">
        <v>111</v>
      </c>
      <c r="E27" s="17"/>
      <c r="F27" s="16"/>
      <c r="G27" s="17"/>
      <c r="H27" s="16"/>
      <c r="I27" s="21"/>
      <c r="J27" s="22"/>
      <c r="K27" s="21"/>
      <c r="L27" s="21"/>
      <c r="M27" s="21"/>
      <c r="N27" s="21"/>
      <c r="O27" s="21"/>
      <c r="P27" s="21">
        <f>SUM(P5:P26)*9%</f>
        <v>1042.0137172008</v>
      </c>
      <c r="Q27" s="1">
        <f>SUM(Q5:Q26)</f>
        <v>4543.7039872</v>
      </c>
    </row>
    <row r="28" s="1" customFormat="1" ht="30" customHeight="1" spans="1:16">
      <c r="A28" s="9"/>
      <c r="B28" s="9"/>
      <c r="C28" s="15"/>
      <c r="D28" s="16" t="s">
        <v>112</v>
      </c>
      <c r="E28" s="17"/>
      <c r="F28" s="16"/>
      <c r="G28" s="17"/>
      <c r="H28" s="16"/>
      <c r="I28" s="21"/>
      <c r="J28" s="22"/>
      <c r="K28" s="21"/>
      <c r="L28" s="21"/>
      <c r="M28" s="21"/>
      <c r="N28" s="21"/>
      <c r="O28" s="21"/>
      <c r="P28" s="21">
        <f>SUM(P5:P27)*98%</f>
        <v>12367.5450301544</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B10"/>
  <sheetViews>
    <sheetView workbookViewId="0">
      <selection activeCell="N8" sqref="N8"/>
    </sheetView>
  </sheetViews>
  <sheetFormatPr defaultColWidth="12" defaultRowHeight="13.05"/>
  <cols>
    <col min="1" max="3" width="12" style="1"/>
    <col min="4" max="4" width="21.5" style="1" customWidth="1"/>
    <col min="5" max="5" width="34.5" style="1" customWidth="1"/>
    <col min="6" max="8" width="12" style="1"/>
    <col min="9" max="9" width="12.5" style="1"/>
    <col min="10" max="10" width="15.3369565217391" style="1"/>
    <col min="11" max="12" width="15.6630434782609" style="1" customWidth="1"/>
    <col min="13" max="14" width="12.5" style="1"/>
    <col min="15" max="15" width="15.5" style="1" customWidth="1"/>
    <col min="16" max="16" width="19.3369565217391" style="1" customWidth="1"/>
    <col min="17" max="17" width="16.8369565217391" style="1"/>
    <col min="18" max="18" width="13.8369565217391" style="1"/>
    <col min="19" max="19" width="16.8369565217391" style="1"/>
    <col min="20" max="16384" width="12" style="1"/>
  </cols>
  <sheetData>
    <row r="1" s="1" customFormat="1" ht="22.9" spans="2:16">
      <c r="B1" s="3" t="s">
        <v>156</v>
      </c>
      <c r="C1" s="4"/>
      <c r="D1" s="4"/>
      <c r="E1" s="4"/>
      <c r="F1" s="4"/>
      <c r="G1" s="5"/>
      <c r="H1" s="4"/>
      <c r="I1" s="18"/>
      <c r="J1" s="18"/>
      <c r="K1" s="18"/>
      <c r="L1" s="18"/>
      <c r="M1" s="18"/>
      <c r="N1" s="18"/>
      <c r="O1" s="18"/>
      <c r="P1" s="19"/>
    </row>
    <row r="2" s="1" customFormat="1" ht="17" spans="1:16">
      <c r="A2" s="6" t="s">
        <v>9</v>
      </c>
      <c r="B2" s="6" t="s">
        <v>61</v>
      </c>
      <c r="C2" s="7" t="s">
        <v>62</v>
      </c>
      <c r="D2" s="7" t="s">
        <v>63</v>
      </c>
      <c r="E2" s="8" t="s">
        <v>64</v>
      </c>
      <c r="F2" s="7" t="s">
        <v>65</v>
      </c>
      <c r="G2" s="7" t="s">
        <v>16</v>
      </c>
      <c r="H2" s="7" t="s">
        <v>12</v>
      </c>
      <c r="I2" s="20" t="s">
        <v>13</v>
      </c>
      <c r="J2" s="20" t="s">
        <v>66</v>
      </c>
      <c r="K2" s="20"/>
      <c r="L2" s="20"/>
      <c r="M2" s="20"/>
      <c r="N2" s="20"/>
      <c r="O2" s="20" t="s">
        <v>67</v>
      </c>
      <c r="P2" s="20" t="s">
        <v>68</v>
      </c>
    </row>
    <row r="3" s="1" customFormat="1" ht="34.05" spans="1:16">
      <c r="A3" s="6"/>
      <c r="B3" s="6"/>
      <c r="C3" s="7"/>
      <c r="D3" s="7"/>
      <c r="E3" s="8"/>
      <c r="F3" s="7"/>
      <c r="G3" s="7"/>
      <c r="H3" s="7"/>
      <c r="I3" s="20"/>
      <c r="J3" s="20" t="s">
        <v>69</v>
      </c>
      <c r="K3" s="20" t="s">
        <v>70</v>
      </c>
      <c r="L3" s="20" t="s">
        <v>71</v>
      </c>
      <c r="M3" s="20" t="s">
        <v>72</v>
      </c>
      <c r="N3" s="20" t="s">
        <v>73</v>
      </c>
      <c r="O3" s="20"/>
      <c r="P3" s="20"/>
    </row>
    <row r="4" s="2" customFormat="1" ht="42" customHeight="1" spans="1:54">
      <c r="A4" s="9"/>
      <c r="B4" s="9"/>
      <c r="C4" s="10" t="s">
        <v>157</v>
      </c>
      <c r="D4" s="11"/>
      <c r="E4" s="12"/>
      <c r="F4" s="13"/>
      <c r="G4" s="12"/>
      <c r="H4" s="13"/>
      <c r="I4" s="21"/>
      <c r="J4" s="21"/>
      <c r="K4" s="21"/>
      <c r="L4" s="21"/>
      <c r="M4" s="21"/>
      <c r="N4" s="21"/>
      <c r="O4" s="21"/>
      <c r="P4" s="21"/>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2" customFormat="1" ht="42" customHeight="1" spans="1:54">
      <c r="A5" s="9"/>
      <c r="B5" s="9"/>
      <c r="C5" s="10" t="s">
        <v>158</v>
      </c>
      <c r="D5" s="11"/>
      <c r="E5" s="12"/>
      <c r="F5" s="13"/>
      <c r="G5" s="12"/>
      <c r="H5" s="13"/>
      <c r="I5" s="21"/>
      <c r="J5" s="21"/>
      <c r="K5" s="21"/>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2" customFormat="1" ht="42" customHeight="1" spans="1:54">
      <c r="A6" s="9">
        <v>9</v>
      </c>
      <c r="B6" s="9">
        <v>149</v>
      </c>
      <c r="C6" s="10" t="s">
        <v>104</v>
      </c>
      <c r="D6" s="11" t="s">
        <v>105</v>
      </c>
      <c r="E6" s="12" t="s">
        <v>106</v>
      </c>
      <c r="F6" s="13" t="s">
        <v>107</v>
      </c>
      <c r="G6" s="12" t="s">
        <v>142</v>
      </c>
      <c r="H6" s="13" t="s">
        <v>89</v>
      </c>
      <c r="I6" s="21">
        <v>11</v>
      </c>
      <c r="J6" s="21">
        <v>47.22</v>
      </c>
      <c r="K6" s="21">
        <v>154.14</v>
      </c>
      <c r="L6" s="21">
        <v>13.07</v>
      </c>
      <c r="M6" s="21">
        <v>1.18</v>
      </c>
      <c r="N6" s="21">
        <v>35.2</v>
      </c>
      <c r="O6" s="21">
        <f>SUM(J6:N6)</f>
        <v>250.81</v>
      </c>
      <c r="P6" s="21">
        <f t="shared" ref="P6:P8" si="0">O6*I6</f>
        <v>2758.91</v>
      </c>
      <c r="Q6" s="23">
        <f>J6*I6</f>
        <v>519.42</v>
      </c>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2" customFormat="1" ht="42" customHeight="1" spans="1:54">
      <c r="A7" s="9">
        <v>10</v>
      </c>
      <c r="B7" s="9">
        <v>402</v>
      </c>
      <c r="C7" s="10" t="s">
        <v>95</v>
      </c>
      <c r="D7" s="14" t="s">
        <v>159</v>
      </c>
      <c r="E7" s="12" t="s">
        <v>160</v>
      </c>
      <c r="F7" s="13" t="s">
        <v>102</v>
      </c>
      <c r="G7" s="12"/>
      <c r="H7" s="13" t="s">
        <v>25</v>
      </c>
      <c r="I7" s="21">
        <v>30</v>
      </c>
      <c r="J7" s="21"/>
      <c r="K7" s="21">
        <f>48.41*1.2*1.2/0.9/0.9</f>
        <v>86.0622222222222</v>
      </c>
      <c r="L7" s="21">
        <f>4.96*1.2*1.2/0.9/0.9</f>
        <v>8.81777777777778</v>
      </c>
      <c r="M7" s="21">
        <v>0</v>
      </c>
      <c r="N7" s="21">
        <f>16.18*1.2*1.2/0.9/0.9</f>
        <v>28.7644444444444</v>
      </c>
      <c r="O7" s="21">
        <f>SUM(J7:N7)</f>
        <v>123.644444444444</v>
      </c>
      <c r="P7" s="21">
        <f t="shared" si="0"/>
        <v>3709.33333333333</v>
      </c>
      <c r="Q7" s="23">
        <f>J7*I7</f>
        <v>0</v>
      </c>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2" customFormat="1" ht="42" customHeight="1" spans="1:54">
      <c r="A8" s="9">
        <v>11</v>
      </c>
      <c r="B8" s="9">
        <v>270</v>
      </c>
      <c r="C8" s="10" t="s">
        <v>148</v>
      </c>
      <c r="D8" s="11" t="s">
        <v>151</v>
      </c>
      <c r="E8" s="12" t="s">
        <v>161</v>
      </c>
      <c r="F8" s="13" t="s">
        <v>88</v>
      </c>
      <c r="G8" s="12"/>
      <c r="H8" s="13" t="s">
        <v>25</v>
      </c>
      <c r="I8" s="21">
        <v>30</v>
      </c>
      <c r="J8" s="21">
        <v>11.94</v>
      </c>
      <c r="K8" s="21">
        <v>14.02</v>
      </c>
      <c r="L8" s="21">
        <v>0.13</v>
      </c>
      <c r="M8" s="21">
        <v>0.01</v>
      </c>
      <c r="N8" s="21">
        <v>4.6</v>
      </c>
      <c r="O8" s="21">
        <f>SUM(J8:N8)</f>
        <v>30.7</v>
      </c>
      <c r="P8" s="21">
        <f t="shared" si="0"/>
        <v>921</v>
      </c>
      <c r="Q8" s="23">
        <f>J8*I8</f>
        <v>358.2</v>
      </c>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row>
    <row r="9" s="1" customFormat="1" ht="30" customHeight="1" spans="1:16">
      <c r="A9" s="9"/>
      <c r="B9" s="9"/>
      <c r="C9" s="15"/>
      <c r="D9" s="16" t="s">
        <v>111</v>
      </c>
      <c r="E9" s="17"/>
      <c r="F9" s="16"/>
      <c r="G9" s="17"/>
      <c r="H9" s="16"/>
      <c r="I9" s="21"/>
      <c r="J9" s="22"/>
      <c r="K9" s="21"/>
      <c r="L9" s="21"/>
      <c r="M9" s="21"/>
      <c r="N9" s="21"/>
      <c r="O9" s="21"/>
      <c r="P9" s="21">
        <f>SUM(P4:P8)*9%</f>
        <v>665.0319</v>
      </c>
    </row>
    <row r="10" s="1" customFormat="1" ht="30" customHeight="1" spans="1:16">
      <c r="A10" s="9"/>
      <c r="B10" s="9"/>
      <c r="C10" s="15"/>
      <c r="D10" s="16" t="s">
        <v>112</v>
      </c>
      <c r="E10" s="17"/>
      <c r="F10" s="16"/>
      <c r="G10" s="17"/>
      <c r="H10" s="16"/>
      <c r="I10" s="21"/>
      <c r="J10" s="22"/>
      <c r="K10" s="21"/>
      <c r="L10" s="21"/>
      <c r="M10" s="21"/>
      <c r="N10" s="21"/>
      <c r="O10" s="21"/>
      <c r="P10" s="21">
        <f>SUM(P4:P9)*98%</f>
        <v>7893.18972866667</v>
      </c>
    </row>
  </sheetData>
  <mergeCells count="13">
    <mergeCell ref="B1:P1"/>
    <mergeCell ref="J2:N2"/>
    <mergeCell ref="A2:A3"/>
    <mergeCell ref="B2:B3"/>
    <mergeCell ref="C2:C3"/>
    <mergeCell ref="D2:D3"/>
    <mergeCell ref="E2:E3"/>
    <mergeCell ref="F2:F3"/>
    <mergeCell ref="G2:G3"/>
    <mergeCell ref="H2:H3"/>
    <mergeCell ref="I2:I3"/>
    <mergeCell ref="O2:O3"/>
    <mergeCell ref="P2:P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报价清单</vt:lpstr>
      <vt:lpstr>Sheet3</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琦丽</cp:lastModifiedBy>
  <dcterms:created xsi:type="dcterms:W3CDTF">2022-08-31T08:31:00Z</dcterms:created>
  <dcterms:modified xsi:type="dcterms:W3CDTF">2026-05-09T08:23:30Z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5F801A64FE7245198E92449577C97FC5_13</vt:lpwstr>
  </property>
  <property fmtid="{D5CDD505-2E9C-101B-9397-08002B2CF9AE}" pid="3" name="KSOProductBuildVer">
    <vt:lpwstr>2052-11.8.2.8276</vt:lpwstr>
  </property>
</Properties>
</file>